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7710" windowHeight="8475" activeTab="1"/>
  </bookViews>
  <sheets>
    <sheet name="نمودار" sheetId="1" r:id="rId1"/>
    <sheet name="داده ها" sheetId="2" r:id="rId2"/>
    <sheet name="بودجه فروش" sheetId="3" r:id="rId3"/>
    <sheet name="بودجه توليد" sheetId="4" r:id="rId4"/>
    <sheet name="بودجه مواد مستقيم" sheetId="5" r:id="rId5"/>
    <sheet name="بودجه دستمزد مستقيم " sheetId="6" r:id="rId6"/>
    <sheet name="بودجه سربار ساخت" sheetId="7" r:id="rId7"/>
    <sheet name="بودجه بهاي تمام شده كالاي فروش " sheetId="8" r:id="rId8"/>
    <sheet name="بودجه هزينه هاي اداري و فروش" sheetId="9" r:id="rId9"/>
    <sheet name="صورت سود وزیان بودجه شده" sheetId="10" r:id="rId10"/>
    <sheet name="بودجه مخارج سرمایه ای" sheetId="11" r:id="rId11"/>
    <sheet name="بودجه نقدی " sheetId="12" r:id="rId12"/>
    <sheet name="ترازنامه بودجه شده " sheetId="13" r:id="rId13"/>
    <sheet name="صورت گردش وجوه نقد بودجه شده" sheetId="14" r:id="rId14"/>
    <sheet name="پایان" sheetId="15" r:id="rId15"/>
  </sheets>
  <definedNames>
    <definedName name="_xlnm.Print_Area" localSheetId="0">'نمودار'!$B$1:$J$52</definedName>
  </definedNames>
  <calcPr fullCalcOnLoad="1"/>
</workbook>
</file>

<file path=xl/comments10.xml><?xml version="1.0" encoding="utf-8"?>
<comments xmlns="http://schemas.openxmlformats.org/spreadsheetml/2006/main">
  <authors>
    <author>sc</author>
  </authors>
  <commentList>
    <comment ref="G14" authorId="0">
      <text>
        <r>
          <rPr>
            <b/>
            <sz val="8"/>
            <rFont val="Tahoma"/>
            <family val="0"/>
          </rPr>
          <t xml:space="preserve">هزینه بهره معادل 6% نسبت به مانده وام می باشد </t>
        </r>
      </text>
    </comment>
  </commentList>
</comments>
</file>

<file path=xl/comments11.xml><?xml version="1.0" encoding="utf-8"?>
<comments xmlns="http://schemas.openxmlformats.org/spreadsheetml/2006/main">
  <authors>
    <author>sc</author>
  </authors>
  <commentList>
    <comment ref="D3" authorId="0">
      <text>
        <r>
          <rPr>
            <b/>
            <sz val="8"/>
            <rFont val="Tahoma"/>
            <family val="0"/>
          </rPr>
          <t>اطلاعات بودجه مخارج سرمایه ای مستقیما وارد شده</t>
        </r>
      </text>
    </comment>
  </commentList>
</comments>
</file>

<file path=xl/comments13.xml><?xml version="1.0" encoding="utf-8"?>
<comments xmlns="http://schemas.openxmlformats.org/spreadsheetml/2006/main">
  <authors>
    <author>sc</author>
  </authors>
  <commentList>
    <comment ref="E38" authorId="0">
      <text>
        <r>
          <rPr>
            <b/>
            <sz val="8"/>
            <rFont val="Tahoma"/>
            <family val="0"/>
          </rPr>
          <t>زیان کاهش ارزش سرمایه گذاری در شرکت آلفا به میزان 7000000 ریال می باشد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mohammad</author>
  </authors>
  <commentList>
    <comment ref="B17" authorId="0">
      <text>
        <r>
          <rPr>
            <sz val="8"/>
            <rFont val="Tahoma"/>
            <family val="0"/>
          </rPr>
          <t xml:space="preserve">موجودي پايان دوده شش ماهه اول
معادل 15% پيش بيني فروش شش ماهه دوم مي باشدولي موجودي پايان دوره شش ماهه دوم معادل 20%بيش بيني شش ماهه اول ميباشدودر ضمن فروش شش ماهه اول نسبت به سال قبل تغییر نکرده است
</t>
        </r>
      </text>
    </comment>
  </commentList>
</comments>
</file>

<file path=xl/comments5.xml><?xml version="1.0" encoding="utf-8"?>
<comments xmlns="http://schemas.openxmlformats.org/spreadsheetml/2006/main">
  <authors>
    <author>mohammad</author>
  </authors>
  <commentList>
    <comment ref="E3" authorId="0">
      <text>
        <r>
          <rPr>
            <sz val="8"/>
            <rFont val="Tahoma"/>
            <family val="0"/>
          </rPr>
          <t>موجودي مواد اوليه در پايان هر شش ماهه  معادل 20%    نيازمندي شش ماهه بعدي است ضمنا مقادير ثوليد شش ماهه اول سال 1384مساوي مقادير توليد شش ماه سال1385  فرض شده است</t>
        </r>
      </text>
    </comment>
  </commentList>
</comments>
</file>

<file path=xl/comments7.xml><?xml version="1.0" encoding="utf-8"?>
<comments xmlns="http://schemas.openxmlformats.org/spreadsheetml/2006/main">
  <authors>
    <author>sc</author>
  </authors>
  <commentList>
    <comment ref="F14" authorId="0">
      <text>
        <r>
          <rPr>
            <b/>
            <sz val="8"/>
            <rFont val="Tahoma"/>
            <family val="0"/>
          </rPr>
          <t>سربار ثابت سالانه بصورت مساوی برای هر شش ماه در نظر گرفته شده است</t>
        </r>
      </text>
    </comment>
  </commentList>
</comments>
</file>

<file path=xl/comments9.xml><?xml version="1.0" encoding="utf-8"?>
<comments xmlns="http://schemas.openxmlformats.org/spreadsheetml/2006/main">
  <authors>
    <author>sc</author>
  </authors>
  <commentList>
    <comment ref="C11" authorId="0">
      <text>
        <r>
          <rPr>
            <b/>
            <sz val="8"/>
            <rFont val="Tahoma"/>
            <family val="0"/>
          </rPr>
          <t>8%حسابهای دریافتنی پایان دوره</t>
        </r>
      </text>
    </comment>
  </commentList>
</comments>
</file>

<file path=xl/sharedStrings.xml><?xml version="1.0" encoding="utf-8"?>
<sst xmlns="http://schemas.openxmlformats.org/spreadsheetml/2006/main" count="507" uniqueCount="293">
  <si>
    <t>نوع محصول</t>
  </si>
  <si>
    <t>دوره</t>
  </si>
  <si>
    <t>شش ماهه اول</t>
  </si>
  <si>
    <t>شش ماهه دوم</t>
  </si>
  <si>
    <t>y</t>
  </si>
  <si>
    <t>z</t>
  </si>
  <si>
    <t>تعداد</t>
  </si>
  <si>
    <t>في</t>
  </si>
  <si>
    <t xml:space="preserve">شش ماهه </t>
  </si>
  <si>
    <t>اول</t>
  </si>
  <si>
    <t>دوم</t>
  </si>
  <si>
    <t>x</t>
  </si>
  <si>
    <t>موجودي پايان دوره محصول (تعداد)</t>
  </si>
  <si>
    <r>
      <t xml:space="preserve">محصول </t>
    </r>
    <r>
      <rPr>
        <sz val="9"/>
        <rFont val="Verdana"/>
        <family val="2"/>
      </rPr>
      <t xml:space="preserve">  z   </t>
    </r>
  </si>
  <si>
    <r>
      <t xml:space="preserve">y  </t>
    </r>
    <r>
      <rPr>
        <sz val="9"/>
        <rFont val="B Titr"/>
        <family val="0"/>
      </rPr>
      <t xml:space="preserve">         محصول</t>
    </r>
  </si>
  <si>
    <r>
      <t xml:space="preserve">محصول     </t>
    </r>
    <r>
      <rPr>
        <sz val="9"/>
        <rFont val="Verdana"/>
        <family val="2"/>
      </rPr>
      <t xml:space="preserve">   x</t>
    </r>
  </si>
  <si>
    <t>شــــرح</t>
  </si>
  <si>
    <t>مبلغ-ريال</t>
  </si>
  <si>
    <t>جمع فروش</t>
  </si>
  <si>
    <t>برآورد  مقدار و نرخ  فروش</t>
  </si>
  <si>
    <t>بودجه فروش</t>
  </si>
  <si>
    <t>بودجه مقادير موجودي كالاي پايان دوره</t>
  </si>
  <si>
    <t>بودجه مقادير توليد</t>
  </si>
  <si>
    <t>محصول</t>
  </si>
  <si>
    <t>جمع ســـــالانه</t>
  </si>
  <si>
    <t>بودجه فروش بر حسب واحد</t>
  </si>
  <si>
    <r>
      <t>اضافه مي شود:</t>
    </r>
    <r>
      <rPr>
        <sz val="10"/>
        <rFont val="B Homa"/>
        <family val="0"/>
      </rPr>
      <t xml:space="preserve"> موجودي مورد نياز پايان دوره</t>
    </r>
  </si>
  <si>
    <t>جمع كل نياز</t>
  </si>
  <si>
    <t>توليد بودجه اي</t>
  </si>
  <si>
    <t>ماده اوليه</t>
  </si>
  <si>
    <t>ميزان مورد نياز براي توليد</t>
  </si>
  <si>
    <t>جمع نياز مندي</t>
  </si>
  <si>
    <t>مقدار خريد</t>
  </si>
  <si>
    <t xml:space="preserve">ضرب در قيمت مواد اوليه </t>
  </si>
  <si>
    <r>
      <t xml:space="preserve">اضافه مي شود: </t>
    </r>
    <r>
      <rPr>
        <sz val="10"/>
        <rFont val="B Homa"/>
        <family val="0"/>
      </rPr>
      <t>موجودي مواد پايان دوره</t>
    </r>
  </si>
  <si>
    <t>بودجه خريد مواد</t>
  </si>
  <si>
    <t>A</t>
  </si>
  <si>
    <t>B</t>
  </si>
  <si>
    <t>C</t>
  </si>
  <si>
    <t>استاندارد توليد</t>
  </si>
  <si>
    <t xml:space="preserve">واحد </t>
  </si>
  <si>
    <t xml:space="preserve">ساعت كار مستقيم </t>
  </si>
  <si>
    <t>مواد مستقيم A</t>
  </si>
  <si>
    <t>مواد مستقيم B</t>
  </si>
  <si>
    <t>مواد مستقيم C</t>
  </si>
  <si>
    <t>محصول  X</t>
  </si>
  <si>
    <t>محصول  Y</t>
  </si>
  <si>
    <t>محصول  Z</t>
  </si>
  <si>
    <t>عدد</t>
  </si>
  <si>
    <t>كيلوگرم</t>
  </si>
  <si>
    <t>متر</t>
  </si>
  <si>
    <t>ـــ</t>
  </si>
  <si>
    <t>ساعت</t>
  </si>
  <si>
    <t xml:space="preserve">برآورد  موجودي   اول دوره </t>
  </si>
  <si>
    <t>موجودي كالاي اول دوره</t>
  </si>
  <si>
    <t>شـــــــــرح</t>
  </si>
  <si>
    <t>نوع  مـــــواد</t>
  </si>
  <si>
    <t>مـــاده  A</t>
  </si>
  <si>
    <t>مـــاده B</t>
  </si>
  <si>
    <t>مـــاده C</t>
  </si>
  <si>
    <t>موجودي مواد اول دوره</t>
  </si>
  <si>
    <t>موجودي مواد پايان دوره</t>
  </si>
  <si>
    <t>بودجه  موجودي  مواد  پايان دوره</t>
  </si>
  <si>
    <t>في(نرخ خريد)</t>
  </si>
  <si>
    <t xml:space="preserve">بودجه دستمزد مستقيم </t>
  </si>
  <si>
    <t>بودجه توليد</t>
  </si>
  <si>
    <t>ضرب در ساعات كار لازم براي توليد ي يك واحد</t>
  </si>
  <si>
    <t>جمع ساعات كار لازم</t>
  </si>
  <si>
    <t>نرح دستمزد ساعتي</t>
  </si>
  <si>
    <t>ريال</t>
  </si>
  <si>
    <t>بودجه دستمزد محصول</t>
  </si>
  <si>
    <t>ضرب در نرخ دستمزد</t>
  </si>
  <si>
    <t>بودجه سربار ساخت</t>
  </si>
  <si>
    <t>پيش بيني سربار متغير ساخت بر مبناي يك ساعت كار مسثقيم</t>
  </si>
  <si>
    <t>مواد غير مستقيم</t>
  </si>
  <si>
    <t>دستمزد غير مستقيم</t>
  </si>
  <si>
    <t>تعمير ونگهداري</t>
  </si>
  <si>
    <t>مزاياي جنبي كاركنان</t>
  </si>
  <si>
    <t xml:space="preserve">ساير هزينه هاي متغير سربار </t>
  </si>
  <si>
    <t>جمع</t>
  </si>
  <si>
    <t>مبلغ سالانه</t>
  </si>
  <si>
    <t>سرپرستي</t>
  </si>
  <si>
    <t>استهلاك</t>
  </si>
  <si>
    <t>بيمه وماليات</t>
  </si>
  <si>
    <t>عوارض</t>
  </si>
  <si>
    <t>اجاره</t>
  </si>
  <si>
    <t>برآورد بودجه سربارثابت</t>
  </si>
  <si>
    <t>اقلام متغير:</t>
  </si>
  <si>
    <t>اقلام ثابت :</t>
  </si>
  <si>
    <t xml:space="preserve">جمع اقلام ثابت </t>
  </si>
  <si>
    <t>جمع اقلام متغير</t>
  </si>
  <si>
    <t>جمع سربار ساخت</t>
  </si>
  <si>
    <t>جمع ســالانه</t>
  </si>
  <si>
    <t>بودجه بهاي تمام شده كالاي فروش رفته</t>
  </si>
  <si>
    <t>موجودي كالاي اول دوره بر حسب تعداد</t>
  </si>
  <si>
    <t>بهاي تمام شده يك واحد</t>
  </si>
  <si>
    <t>بهاي تمام شده موجودي اول دوره</t>
  </si>
  <si>
    <t>توليد سال ..... بر حسب تعداد</t>
  </si>
  <si>
    <t>بهاي تمام شده توليد</t>
  </si>
  <si>
    <t>جمع بهاي تمام شده كالاي آماده براي فروش</t>
  </si>
  <si>
    <t>بهاي تمام شده موجودي پايان دوره</t>
  </si>
  <si>
    <t>بهاي تمام كالاي فروش رفثه</t>
  </si>
  <si>
    <t>محصول  x</t>
  </si>
  <si>
    <t>محصول  y</t>
  </si>
  <si>
    <t>محصول  z</t>
  </si>
  <si>
    <t>بودجه بهاي تمام شده يك واحد محصول توليدي</t>
  </si>
  <si>
    <r>
      <t xml:space="preserve">محصول    </t>
    </r>
    <r>
      <rPr>
        <sz val="9"/>
        <rFont val="Verdana"/>
        <family val="2"/>
      </rPr>
      <t xml:space="preserve"> y</t>
    </r>
  </si>
  <si>
    <r>
      <t xml:space="preserve">محصول  </t>
    </r>
    <r>
      <rPr>
        <sz val="9"/>
        <rFont val="Verdana"/>
        <family val="2"/>
      </rPr>
      <t xml:space="preserve">  z</t>
    </r>
  </si>
  <si>
    <r>
      <t xml:space="preserve">محصول     </t>
    </r>
    <r>
      <rPr>
        <sz val="9"/>
        <rFont val="Verdana"/>
        <family val="2"/>
      </rPr>
      <t xml:space="preserve">  x</t>
    </r>
  </si>
  <si>
    <t>مواد مــستقيم</t>
  </si>
  <si>
    <t>دستمزد مستقيم</t>
  </si>
  <si>
    <t>سربار متغير ساخت</t>
  </si>
  <si>
    <t>سربار ثابت ساخت</t>
  </si>
  <si>
    <t xml:space="preserve">  اداري </t>
  </si>
  <si>
    <t>فروش و بازاريابي</t>
  </si>
  <si>
    <t>شـــــرح</t>
  </si>
  <si>
    <t xml:space="preserve">حقوق  كاركنان اداري </t>
  </si>
  <si>
    <t xml:space="preserve">استهلاك ساختمان اداري </t>
  </si>
  <si>
    <t>بيمه</t>
  </si>
  <si>
    <t xml:space="preserve">ملزومات اداري </t>
  </si>
  <si>
    <t xml:space="preserve">حقوق مديران </t>
  </si>
  <si>
    <t>عوارض وماليات بر دارايي</t>
  </si>
  <si>
    <t xml:space="preserve">آگهي وتبليغات </t>
  </si>
  <si>
    <t>حقوق كاركنان فروش</t>
  </si>
  <si>
    <t>ملزومات فروشگاه</t>
  </si>
  <si>
    <t>برآورد هزينه هاي  اداري و فروش و بازاريابي</t>
  </si>
  <si>
    <t>اداري :</t>
  </si>
  <si>
    <t>فروش و بازاريابي :</t>
  </si>
  <si>
    <t xml:space="preserve">اعتبارات ووصول  مطالبات </t>
  </si>
  <si>
    <t xml:space="preserve">انبارداري </t>
  </si>
  <si>
    <t>بسته بندي وارسال</t>
  </si>
  <si>
    <t>بودجه هزینه های فروش و بازار یابی</t>
  </si>
  <si>
    <t>برای سال منتهی به 29 اسفند 1385</t>
  </si>
  <si>
    <t>اطلاعات مربوط به تهیه بودجه نقدی</t>
  </si>
  <si>
    <t>فروش سال قبل (1384)</t>
  </si>
  <si>
    <t xml:space="preserve">شش ماهه اول </t>
  </si>
  <si>
    <t>الگوی وصول حسابهای در یافتنی:</t>
  </si>
  <si>
    <t xml:space="preserve">دریافتی از فروش هر شش ماهه در همان دوره شش ماهه معادل  </t>
  </si>
  <si>
    <t>دریافتی از فروش هر شش ماهه  در شش ماهه بعدی</t>
  </si>
  <si>
    <t xml:space="preserve">دریافتی از فروش هر شش ماهه  طی دو دوره شش ماهه بعد از فروش </t>
  </si>
  <si>
    <t>آگهي وتبليغات (5 درصد  فروش)</t>
  </si>
  <si>
    <t>مطالباب سوخت شده (8درصد فروش های نسیه )</t>
  </si>
  <si>
    <t>انبارداري (20درصد بهاي موجودي كالا پايان)</t>
  </si>
  <si>
    <t>بسته بندي وارسال(25ريال به ازاي هر واحد توليد در سال  )</t>
  </si>
  <si>
    <t xml:space="preserve">جمع </t>
  </si>
  <si>
    <t xml:space="preserve">فروش </t>
  </si>
  <si>
    <t>کسر می شود: بها تمام شده کالای فروش رفته</t>
  </si>
  <si>
    <t>سود ناخالص</t>
  </si>
  <si>
    <t xml:space="preserve">هزینه های اداری </t>
  </si>
  <si>
    <t>هزینه های  فروش و بازاریابی</t>
  </si>
  <si>
    <t xml:space="preserve">کسر می شود: هزینه بهره </t>
  </si>
  <si>
    <t>ریال</t>
  </si>
  <si>
    <t>جمع هزینه های عملیاتی</t>
  </si>
  <si>
    <t>بودجه هزینه های اداری</t>
  </si>
  <si>
    <t>صورت سود وزیان بودجه شده</t>
  </si>
  <si>
    <t xml:space="preserve">پروژه </t>
  </si>
  <si>
    <t xml:space="preserve">اول </t>
  </si>
  <si>
    <t xml:space="preserve">جمع سالانه </t>
  </si>
  <si>
    <t xml:space="preserve">تجهیزات تحویل کالا </t>
  </si>
  <si>
    <t>سرمایه گذاری در سهام عادی شرکت آلفا</t>
  </si>
  <si>
    <t>تجهیزات اداری</t>
  </si>
  <si>
    <t xml:space="preserve">تجهیزات تولید </t>
  </si>
  <si>
    <t xml:space="preserve">جمع مخارج </t>
  </si>
  <si>
    <t>شــــــــرح</t>
  </si>
  <si>
    <t>صورت وضعیت مالی بودجه شده</t>
  </si>
  <si>
    <t>در تاریخ  29 اسفند 1384</t>
  </si>
  <si>
    <t xml:space="preserve">دارایی ها </t>
  </si>
  <si>
    <t>بدهی ها</t>
  </si>
  <si>
    <t xml:space="preserve">حقوق صاحبان سهام </t>
  </si>
  <si>
    <t xml:space="preserve">   بدهی های جاری :</t>
  </si>
  <si>
    <t xml:space="preserve">      حساب های پرداختنی تجاری</t>
  </si>
  <si>
    <t xml:space="preserve">       اسناد پرداختنی</t>
  </si>
  <si>
    <t xml:space="preserve">        پیش دریافت از مشتریان</t>
  </si>
  <si>
    <t xml:space="preserve">       دستمزد پرداختنی</t>
  </si>
  <si>
    <t xml:space="preserve">  جمع بدهی های جاری </t>
  </si>
  <si>
    <t xml:space="preserve">  بدهی های بلند مدت  :</t>
  </si>
  <si>
    <t xml:space="preserve">       وام پرداختنی ( 6%)</t>
  </si>
  <si>
    <t xml:space="preserve">  سرمایه اسمی :</t>
  </si>
  <si>
    <t xml:space="preserve">       سهام ممتاز 9% انباشته (5000 سهم   10000  ریالی)</t>
  </si>
  <si>
    <t xml:space="preserve">       سهام عادی (7500 سهم 20000 ریالی)</t>
  </si>
  <si>
    <t xml:space="preserve">       صرف سهام عادی</t>
  </si>
  <si>
    <t xml:space="preserve">       اندوخته قانونی</t>
  </si>
  <si>
    <t xml:space="preserve">       سود انباشته</t>
  </si>
  <si>
    <t xml:space="preserve">   جمع بدهی ها و حقوق صاحبان سهام</t>
  </si>
  <si>
    <t xml:space="preserve">       جمع سرمایه اسمی </t>
  </si>
  <si>
    <t xml:space="preserve">       جمع حقوق صاحبان سهام</t>
  </si>
  <si>
    <t xml:space="preserve">       جمع بدهی ها</t>
  </si>
  <si>
    <t xml:space="preserve">        موجودی نقد</t>
  </si>
  <si>
    <t xml:space="preserve">  دارایی های  جاری:</t>
  </si>
  <si>
    <t xml:space="preserve">        سرمایه گذاری کوتاه مدت </t>
  </si>
  <si>
    <t xml:space="preserve">        حساب های دریافتنی</t>
  </si>
  <si>
    <t xml:space="preserve">       کسر می شود: ذخیره مطالبات مشکوک الوصول </t>
  </si>
  <si>
    <r>
      <t xml:space="preserve">       موجودی کالا (</t>
    </r>
    <r>
      <rPr>
        <sz val="11"/>
        <rFont val="B Titr"/>
        <family val="0"/>
      </rPr>
      <t>fifo</t>
    </r>
    <r>
      <rPr>
        <sz val="9"/>
        <rFont val="B Titr"/>
        <family val="0"/>
      </rPr>
      <t>)</t>
    </r>
  </si>
  <si>
    <t xml:space="preserve">        ملزومات</t>
  </si>
  <si>
    <t xml:space="preserve">        پیش پرداخت بیمه</t>
  </si>
  <si>
    <t xml:space="preserve">        جمع دارایی های جاری</t>
  </si>
  <si>
    <t xml:space="preserve">   اموال و تجهیزات :</t>
  </si>
  <si>
    <t xml:space="preserve">        زمین </t>
  </si>
  <si>
    <t xml:space="preserve">        ساختمان</t>
  </si>
  <si>
    <t xml:space="preserve">        کسر میشود : استهلاک انباشته</t>
  </si>
  <si>
    <t xml:space="preserve">        تجهیزات </t>
  </si>
  <si>
    <t xml:space="preserve">  جمع دارایی ها</t>
  </si>
  <si>
    <t>اسهلاك تجهیزات</t>
  </si>
  <si>
    <t>استهلاك تجهیزات</t>
  </si>
  <si>
    <t xml:space="preserve">جمع اموال وتجهیزات </t>
  </si>
  <si>
    <t xml:space="preserve"> حصه جاری وام بلند مدت </t>
  </si>
  <si>
    <t>شرح</t>
  </si>
  <si>
    <t>مانده خالص حساب های دریافتنی اول دوره</t>
  </si>
  <si>
    <t>فروش</t>
  </si>
  <si>
    <t>وصولی ها :</t>
  </si>
  <si>
    <t xml:space="preserve">  70درصد فروش خا لص شش ماهه </t>
  </si>
  <si>
    <t xml:space="preserve">  20درصد فروش خا لص شش ماهه قبل </t>
  </si>
  <si>
    <t xml:space="preserve">  10درصد فروش خا لص شش ماهه دو دوره قبل  </t>
  </si>
  <si>
    <t>جمع وصولی ها و کاهش حساب های در یافتنی</t>
  </si>
  <si>
    <t>خالص حساب های در یافتنی پایان دوره</t>
  </si>
  <si>
    <t>برنامه برآورد وصول حساب های دریافتنی و محاسبه مانده دریافت های خا لص</t>
  </si>
  <si>
    <t>بودجه مخارج سرمایه ای</t>
  </si>
  <si>
    <t>بودجه نقدی</t>
  </si>
  <si>
    <t xml:space="preserve">موجودی وجه نقد در اول دوره </t>
  </si>
  <si>
    <t xml:space="preserve">وصول از بابت فروش و حساب های در یافتنی </t>
  </si>
  <si>
    <t xml:space="preserve">جمع وجوه نقد </t>
  </si>
  <si>
    <t xml:space="preserve">مواد مستقیم </t>
  </si>
  <si>
    <t>دستمزد مستقیم</t>
  </si>
  <si>
    <t xml:space="preserve">سربار ساخت </t>
  </si>
  <si>
    <t>هزینه های اداری</t>
  </si>
  <si>
    <t>هزینه های فروش و بازار یابی</t>
  </si>
  <si>
    <t>اقساط وام پرداختی</t>
  </si>
  <si>
    <t>جمع مخارج پرداختی</t>
  </si>
  <si>
    <t>وجه نقد حاصل از عملیات</t>
  </si>
  <si>
    <t>مخارج سرمایه ای</t>
  </si>
  <si>
    <t>موجودی نقدی آخر دوره</t>
  </si>
  <si>
    <t>بودجه خرید مواد اولیه</t>
  </si>
  <si>
    <t xml:space="preserve">در تاریخ  29 اسفند1385 </t>
  </si>
  <si>
    <t xml:space="preserve">       سرمایه گذاری در سهام عادی شرکت آلفا (به بهای تمام شده)</t>
  </si>
  <si>
    <t xml:space="preserve">   سرمایه گذاری های بلند مدت:</t>
  </si>
  <si>
    <t xml:space="preserve">   کسر می شود: ذخیره کاهش ارزش</t>
  </si>
  <si>
    <t>پرداخت سود نقدی سهام</t>
  </si>
  <si>
    <t xml:space="preserve">سود نقدی سهام معادل  </t>
  </si>
  <si>
    <t>كسر مي شود: مالیات (با نرخ 50%)</t>
  </si>
  <si>
    <t>سود خالص قبل از کسر مالیات</t>
  </si>
  <si>
    <t>سود خالص پس از کسر ملیات</t>
  </si>
  <si>
    <t xml:space="preserve"> هزینه مطالبات مشکوک الوصول</t>
  </si>
  <si>
    <t>موجودی مواد اول دوره</t>
  </si>
  <si>
    <t>مالیات پرداختنی</t>
  </si>
  <si>
    <t>زیان تحقق نیافته ناشی از ارزیابی سرمایه گذاری بلند مدت  در آلفا</t>
  </si>
  <si>
    <t xml:space="preserve">موجودی مواد </t>
  </si>
  <si>
    <t>هزینه بهره وام بلند مدت 6%</t>
  </si>
  <si>
    <t>صورت گردش وجوه نقد بودجه شده</t>
  </si>
  <si>
    <t>وجوه نقد حاصل از فعالیت های عملیاتی(به روش غیر مستقیم)</t>
  </si>
  <si>
    <t xml:space="preserve">سود خالص </t>
  </si>
  <si>
    <t xml:space="preserve">اضافه(کسر) می شود: اقلام موثر در اندازه گیری سود خالص که </t>
  </si>
  <si>
    <t>تاثیری بر گردش وجوه نقد طی سال 1385 نداشته اند:</t>
  </si>
  <si>
    <t>هزینه مطالبات مشکوک الوصول</t>
  </si>
  <si>
    <t>هزینه استهلاک</t>
  </si>
  <si>
    <t xml:space="preserve">افزایش در حسابهای دریافتنی </t>
  </si>
  <si>
    <t>کاهش در دستمزد پرداختنی</t>
  </si>
  <si>
    <t>خالص وجه نقد حاصل از فعالیت های عملیاتی</t>
  </si>
  <si>
    <t>افزایش در مالیات پرداختنی</t>
  </si>
  <si>
    <t>گردش وجوه نقد ناشی از فعالیت های سرمایه گذاری:</t>
  </si>
  <si>
    <t>وجوه پرداختی  بابت خرید تجهیزات</t>
  </si>
  <si>
    <t>وجوه پرداختی بابت سرمایه گذاری در سهام شرکت آلفا</t>
  </si>
  <si>
    <t>گردش وجوه نقد ناشی از فعالیت های تامین مالی:</t>
  </si>
  <si>
    <t xml:space="preserve">وجوه پرداختی بابت اقساط وام بلند مدت </t>
  </si>
  <si>
    <t xml:space="preserve">پرداخت سود نقدی سهام </t>
  </si>
  <si>
    <t>خالص وجه نقد پرداختی بابت فعالیت های تامین مالی</t>
  </si>
  <si>
    <t>افزایش خالص در موجودی نقد طی سال 1385</t>
  </si>
  <si>
    <t>مانده وجوه نقد در اول سال 1385</t>
  </si>
  <si>
    <t>مانده وجوه نقد در پایان سال 1385</t>
  </si>
  <si>
    <t>کاهش در موجودی مواد اولیه</t>
  </si>
  <si>
    <t>کاهش در موجودی کالا</t>
  </si>
  <si>
    <t>افزایش در بهره پرداختی</t>
  </si>
  <si>
    <t>کاهش در پیش پرداخت بیمه</t>
  </si>
  <si>
    <t>زیان تحقق نیافته ناشی از ارزیابی سرمایه گذاری بلند مدت در شرکت آلفا</t>
  </si>
  <si>
    <r>
      <t xml:space="preserve">سود  خالص قبل از کسر بهره و ملیات </t>
    </r>
    <r>
      <rPr>
        <b/>
        <sz val="10"/>
        <rFont val="B Homa"/>
        <family val="0"/>
      </rPr>
      <t>EBIT</t>
    </r>
  </si>
  <si>
    <r>
      <t>کسر می شود:</t>
    </r>
    <r>
      <rPr>
        <sz val="10"/>
        <rFont val="B Homa"/>
        <family val="0"/>
      </rPr>
      <t xml:space="preserve"> مخارج پرداختی بابت :</t>
    </r>
  </si>
  <si>
    <r>
      <t>کسر می شود:</t>
    </r>
    <r>
      <rPr>
        <sz val="10"/>
        <rFont val="B Homa"/>
        <family val="0"/>
      </rPr>
      <t xml:space="preserve"> هزینه های عملیاتی</t>
    </r>
  </si>
  <si>
    <r>
      <t>كسر مي شود:</t>
    </r>
    <r>
      <rPr>
        <sz val="10"/>
        <rFont val="B Homa"/>
        <family val="0"/>
      </rPr>
      <t>موجودي پايان دوره بر حسب تعداد</t>
    </r>
  </si>
  <si>
    <r>
      <t>كسر مي شود:</t>
    </r>
    <r>
      <rPr>
        <sz val="10"/>
        <color indexed="10"/>
        <rFont val="B Homa"/>
        <family val="0"/>
      </rPr>
      <t xml:space="preserve"> موجودي مواد اول دوره</t>
    </r>
  </si>
  <si>
    <r>
      <t>كسر مي شود:</t>
    </r>
    <r>
      <rPr>
        <sz val="10"/>
        <color indexed="10"/>
        <rFont val="B Homa"/>
        <family val="0"/>
      </rPr>
      <t xml:space="preserve"> موجودي اول دوره</t>
    </r>
  </si>
  <si>
    <t>برآورد  مخارج سرمایه ای</t>
  </si>
  <si>
    <t xml:space="preserve">کاهش در موجودی ملزومات </t>
  </si>
  <si>
    <t>شركت............</t>
  </si>
  <si>
    <t>شركت ............</t>
  </si>
  <si>
    <t>شركت ..............</t>
  </si>
  <si>
    <t>شركت.................</t>
  </si>
  <si>
    <t>شركت .............</t>
  </si>
  <si>
    <t>شركت ................</t>
  </si>
  <si>
    <t>شرکت ...........</t>
  </si>
  <si>
    <t>شرکت................</t>
  </si>
  <si>
    <t>شرکت.............</t>
  </si>
  <si>
    <t>شرکت ..............</t>
  </si>
  <si>
    <t>شرکت ................</t>
  </si>
  <si>
    <t>شرکت .............</t>
  </si>
</sst>
</file>

<file path=xl/styles.xml><?xml version="1.0" encoding="utf-8"?>
<styleSheet xmlns="http://schemas.openxmlformats.org/spreadsheetml/2006/main">
  <numFmts count="3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1]dddd\,\ dd\ mmmm\,\ yyyy"/>
    <numFmt numFmtId="185" formatCode="[$-401]hh:mm:ss\ AM/PM"/>
    <numFmt numFmtId="186" formatCode="&quot;ريال&quot;\ #,##0_-"/>
    <numFmt numFmtId="187" formatCode="#,##0_-"/>
    <numFmt numFmtId="188" formatCode="_-* #,##0.000\ _ر_ي_ا_ل_-;\-* #,##0.000\ _ر_ي_ا_ل_-;_-* &quot;-&quot;??\ _ر_ي_ا_ل_-;_-@_-"/>
    <numFmt numFmtId="189" formatCode="_-* #,##0.0\ _ر_ي_ا_ل_-;\-* #,##0.0\ _ر_ي_ا_ل_-;_-* &quot;-&quot;??\ _ر_ي_ا_ل_-;_-@_-"/>
    <numFmt numFmtId="190" formatCode="_-* #,##0\ _ر_ي_ا_ل_-;\-* #,##0\ _ر_ي_ا_ل_-;_-* &quot;-&quot;??\ _ر_ي_ا_ل_-;_-@_-"/>
    <numFmt numFmtId="191" formatCode="_-* #,##0.0000\ _ر_ي_ا_ل_-;\-* #,##0.0000\ _ر_ي_ا_ل_-;_-* &quot;-&quot;??\ _ر_ي_ا_ل_-;_-@_-"/>
    <numFmt numFmtId="192" formatCode="_-* #,##0.00000\ _ر_ي_ا_ل_-;\-* #,##0.00000\ _ر_ي_ا_ل_-;_-* &quot;-&quot;??\ _ر_ي_ا_ل_-;_-@_-"/>
    <numFmt numFmtId="193" formatCode="0.0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 Titr"/>
      <family val="0"/>
    </font>
    <font>
      <sz val="9"/>
      <name val="Verdana"/>
      <family val="2"/>
    </font>
    <font>
      <sz val="11"/>
      <name val="B Titr"/>
      <family val="0"/>
    </font>
    <font>
      <sz val="10"/>
      <name val="B Titr"/>
      <family val="0"/>
    </font>
    <font>
      <sz val="8"/>
      <name val="Tahoma"/>
      <family val="0"/>
    </font>
    <font>
      <u val="single"/>
      <sz val="16"/>
      <color indexed="12"/>
      <name val="B Shadi"/>
      <family val="0"/>
    </font>
    <font>
      <sz val="8"/>
      <name val="Arial"/>
      <family val="0"/>
    </font>
    <font>
      <sz val="10"/>
      <name val="B Homa"/>
      <family val="0"/>
    </font>
    <font>
      <sz val="10"/>
      <name val="B Zar"/>
      <family val="0"/>
    </font>
    <font>
      <sz val="10"/>
      <name val="Homa"/>
      <family val="0"/>
    </font>
    <font>
      <b/>
      <sz val="12"/>
      <name val="B Titr"/>
      <family val="0"/>
    </font>
    <font>
      <sz val="16"/>
      <name val="B Jadid"/>
      <family val="0"/>
    </font>
    <font>
      <sz val="12"/>
      <name val="B Jadid"/>
      <family val="0"/>
    </font>
    <font>
      <sz val="10"/>
      <name val="B Jadid"/>
      <family val="0"/>
    </font>
    <font>
      <sz val="9"/>
      <name val="B Homa"/>
      <family val="0"/>
    </font>
    <font>
      <sz val="7"/>
      <name val="B Titr"/>
      <family val="0"/>
    </font>
    <font>
      <sz val="9"/>
      <name val="B Jadid"/>
      <family val="0"/>
    </font>
    <font>
      <sz val="14"/>
      <name val="B Jadid"/>
      <family val="0"/>
    </font>
    <font>
      <vertAlign val="superscript"/>
      <sz val="14"/>
      <name val="B Homa"/>
      <family val="0"/>
    </font>
    <font>
      <vertAlign val="subscript"/>
      <sz val="12"/>
      <name val="B Titr"/>
      <family val="0"/>
    </font>
    <font>
      <b/>
      <sz val="10"/>
      <name val="B Homa"/>
      <family val="0"/>
    </font>
    <font>
      <sz val="11"/>
      <name val="B Jadid"/>
      <family val="0"/>
    </font>
    <font>
      <sz val="7"/>
      <color indexed="10"/>
      <name val="B Titr"/>
      <family val="0"/>
    </font>
    <font>
      <sz val="10"/>
      <color indexed="10"/>
      <name val="B Homa"/>
      <family val="0"/>
    </font>
    <font>
      <sz val="9"/>
      <color indexed="10"/>
      <name val="B Homa"/>
      <family val="0"/>
    </font>
    <font>
      <sz val="10"/>
      <color indexed="10"/>
      <name val="B Zar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8"/>
      <name val="B Jadid"/>
      <family val="0"/>
    </font>
    <font>
      <sz val="20"/>
      <color indexed="8"/>
      <name val="Tahoma"/>
      <family val="0"/>
    </font>
    <font>
      <sz val="14"/>
      <color indexed="8"/>
      <name val="B Jadid"/>
      <family val="0"/>
    </font>
    <font>
      <b/>
      <sz val="10"/>
      <color indexed="8"/>
      <name val="B Titr"/>
      <family val="0"/>
    </font>
    <font>
      <b/>
      <sz val="7"/>
      <color indexed="8"/>
      <name val="B Titr"/>
      <family val="0"/>
    </font>
    <font>
      <b/>
      <sz val="8"/>
      <color indexed="8"/>
      <name val="B Titr"/>
      <family val="0"/>
    </font>
    <font>
      <sz val="16"/>
      <color indexed="8"/>
      <name val="B Jadi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 style="mediumDashed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 style="mediumDashed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  <border>
      <left style="mediumDashed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190" fontId="18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190" fontId="18" fillId="33" borderId="10" xfId="42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8" fillId="33" borderId="0" xfId="53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0" xfId="0" applyFill="1" applyAlignment="1">
      <alignment/>
    </xf>
    <xf numFmtId="190" fontId="18" fillId="33" borderId="0" xfId="42" applyNumberFormat="1" applyFont="1" applyFill="1" applyBorder="1" applyAlignment="1">
      <alignment horizontal="right"/>
    </xf>
    <xf numFmtId="0" fontId="0" fillId="33" borderId="17" xfId="0" applyFill="1" applyBorder="1" applyAlignment="1">
      <alignment/>
    </xf>
    <xf numFmtId="190" fontId="0" fillId="33" borderId="0" xfId="0" applyNumberFormat="1" applyFill="1" applyAlignment="1">
      <alignment/>
    </xf>
    <xf numFmtId="190" fontId="18" fillId="33" borderId="20" xfId="42" applyNumberFormat="1" applyFont="1" applyFill="1" applyBorder="1" applyAlignment="1">
      <alignment/>
    </xf>
    <xf numFmtId="190" fontId="18" fillId="33" borderId="21" xfId="42" applyNumberFormat="1" applyFont="1" applyFill="1" applyBorder="1" applyAlignment="1">
      <alignment/>
    </xf>
    <xf numFmtId="190" fontId="18" fillId="33" borderId="22" xfId="42" applyNumberFormat="1" applyFont="1" applyFill="1" applyBorder="1" applyAlignment="1">
      <alignment/>
    </xf>
    <xf numFmtId="190" fontId="18" fillId="33" borderId="23" xfId="42" applyNumberFormat="1" applyFont="1" applyFill="1" applyBorder="1" applyAlignment="1">
      <alignment/>
    </xf>
    <xf numFmtId="190" fontId="18" fillId="33" borderId="24" xfId="42" applyNumberFormat="1" applyFont="1" applyFill="1" applyBorder="1" applyAlignment="1">
      <alignment/>
    </xf>
    <xf numFmtId="190" fontId="18" fillId="33" borderId="25" xfId="42" applyNumberFormat="1" applyFont="1" applyFill="1" applyBorder="1" applyAlignment="1">
      <alignment/>
    </xf>
    <xf numFmtId="190" fontId="18" fillId="33" borderId="17" xfId="42" applyNumberFormat="1" applyFont="1" applyFill="1" applyBorder="1" applyAlignment="1">
      <alignment/>
    </xf>
    <xf numFmtId="190" fontId="18" fillId="33" borderId="26" xfId="42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5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90" fontId="18" fillId="33" borderId="30" xfId="42" applyNumberFormat="1" applyFont="1" applyFill="1" applyBorder="1" applyAlignment="1">
      <alignment/>
    </xf>
    <xf numFmtId="190" fontId="18" fillId="33" borderId="31" xfId="42" applyNumberFormat="1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190" fontId="18" fillId="33" borderId="33" xfId="42" applyNumberFormat="1" applyFont="1" applyFill="1" applyBorder="1" applyAlignment="1">
      <alignment/>
    </xf>
    <xf numFmtId="190" fontId="18" fillId="33" borderId="34" xfId="42" applyNumberFormat="1" applyFont="1" applyFill="1" applyBorder="1" applyAlignment="1">
      <alignment/>
    </xf>
    <xf numFmtId="190" fontId="18" fillId="33" borderId="35" xfId="42" applyNumberFormat="1" applyFont="1" applyFill="1" applyBorder="1" applyAlignment="1">
      <alignment/>
    </xf>
    <xf numFmtId="0" fontId="17" fillId="34" borderId="17" xfId="0" applyFont="1" applyFill="1" applyBorder="1" applyAlignment="1">
      <alignment horizontal="right"/>
    </xf>
    <xf numFmtId="190" fontId="18" fillId="33" borderId="20" xfId="42" applyNumberFormat="1" applyFont="1" applyFill="1" applyBorder="1" applyAlignment="1">
      <alignment horizontal="right"/>
    </xf>
    <xf numFmtId="190" fontId="18" fillId="33" borderId="25" xfId="42" applyNumberFormat="1" applyFont="1" applyFill="1" applyBorder="1" applyAlignment="1">
      <alignment horizontal="right"/>
    </xf>
    <xf numFmtId="190" fontId="18" fillId="33" borderId="22" xfId="42" applyNumberFormat="1" applyFont="1" applyFill="1" applyBorder="1" applyAlignment="1">
      <alignment horizontal="right"/>
    </xf>
    <xf numFmtId="0" fontId="17" fillId="34" borderId="23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10" fillId="34" borderId="17" xfId="0" applyFont="1" applyFill="1" applyBorder="1" applyAlignment="1">
      <alignment horizontal="right"/>
    </xf>
    <xf numFmtId="0" fontId="10" fillId="34" borderId="23" xfId="0" applyFont="1" applyFill="1" applyBorder="1" applyAlignment="1">
      <alignment horizontal="right"/>
    </xf>
    <xf numFmtId="0" fontId="10" fillId="34" borderId="21" xfId="0" applyFont="1" applyFill="1" applyBorder="1" applyAlignment="1">
      <alignment horizontal="right"/>
    </xf>
    <xf numFmtId="0" fontId="17" fillId="34" borderId="22" xfId="0" applyFont="1" applyFill="1" applyBorder="1" applyAlignment="1">
      <alignment horizontal="right"/>
    </xf>
    <xf numFmtId="0" fontId="3" fillId="38" borderId="36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37" xfId="0" applyFont="1" applyFill="1" applyBorder="1" applyAlignment="1">
      <alignment/>
    </xf>
    <xf numFmtId="0" fontId="3" fillId="38" borderId="38" xfId="0" applyFont="1" applyFill="1" applyBorder="1" applyAlignment="1">
      <alignment/>
    </xf>
    <xf numFmtId="190" fontId="18" fillId="38" borderId="36" xfId="42" applyNumberFormat="1" applyFont="1" applyFill="1" applyBorder="1" applyAlignment="1">
      <alignment/>
    </xf>
    <xf numFmtId="190" fontId="18" fillId="38" borderId="0" xfId="42" applyNumberFormat="1" applyFont="1" applyFill="1" applyBorder="1" applyAlignment="1">
      <alignment/>
    </xf>
    <xf numFmtId="0" fontId="17" fillId="38" borderId="37" xfId="0" applyFont="1" applyFill="1" applyBorder="1" applyAlignment="1">
      <alignment horizontal="right"/>
    </xf>
    <xf numFmtId="0" fontId="17" fillId="38" borderId="38" xfId="0" applyFont="1" applyFill="1" applyBorder="1" applyAlignment="1">
      <alignment horizontal="right"/>
    </xf>
    <xf numFmtId="190" fontId="18" fillId="38" borderId="18" xfId="42" applyNumberFormat="1" applyFont="1" applyFill="1" applyBorder="1" applyAlignment="1">
      <alignment/>
    </xf>
    <xf numFmtId="190" fontId="18" fillId="38" borderId="39" xfId="42" applyNumberFormat="1" applyFont="1" applyFill="1" applyBorder="1" applyAlignment="1">
      <alignment/>
    </xf>
    <xf numFmtId="190" fontId="18" fillId="38" borderId="40" xfId="42" applyNumberFormat="1" applyFont="1" applyFill="1" applyBorder="1" applyAlignment="1">
      <alignment/>
    </xf>
    <xf numFmtId="190" fontId="18" fillId="38" borderId="41" xfId="42" applyNumberFormat="1" applyFont="1" applyFill="1" applyBorder="1" applyAlignment="1">
      <alignment/>
    </xf>
    <xf numFmtId="190" fontId="18" fillId="38" borderId="42" xfId="42" applyNumberFormat="1" applyFont="1" applyFill="1" applyBorder="1" applyAlignment="1">
      <alignment/>
    </xf>
    <xf numFmtId="190" fontId="18" fillId="38" borderId="43" xfId="42" applyNumberFormat="1" applyFont="1" applyFill="1" applyBorder="1" applyAlignment="1">
      <alignment/>
    </xf>
    <xf numFmtId="190" fontId="18" fillId="38" borderId="44" xfId="42" applyNumberFormat="1" applyFont="1" applyFill="1" applyBorder="1" applyAlignment="1">
      <alignment/>
    </xf>
    <xf numFmtId="0" fontId="17" fillId="38" borderId="45" xfId="0" applyFont="1" applyFill="1" applyBorder="1" applyAlignment="1">
      <alignment horizontal="right"/>
    </xf>
    <xf numFmtId="0" fontId="17" fillId="38" borderId="46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10" fillId="33" borderId="19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90" fontId="18" fillId="38" borderId="10" xfId="42" applyNumberFormat="1" applyFont="1" applyFill="1" applyBorder="1" applyAlignment="1">
      <alignment horizontal="center"/>
    </xf>
    <xf numFmtId="190" fontId="18" fillId="38" borderId="24" xfId="42" applyNumberFormat="1" applyFont="1" applyFill="1" applyBorder="1" applyAlignment="1">
      <alignment horizontal="center"/>
    </xf>
    <xf numFmtId="190" fontId="18" fillId="38" borderId="0" xfId="42" applyNumberFormat="1" applyFont="1" applyFill="1" applyBorder="1" applyAlignment="1">
      <alignment horizontal="center"/>
    </xf>
    <xf numFmtId="190" fontId="25" fillId="33" borderId="24" xfId="42" applyNumberFormat="1" applyFont="1" applyFill="1" applyBorder="1" applyAlignment="1">
      <alignment/>
    </xf>
    <xf numFmtId="0" fontId="26" fillId="34" borderId="10" xfId="0" applyFont="1" applyFill="1" applyBorder="1" applyAlignment="1">
      <alignment horizontal="right"/>
    </xf>
    <xf numFmtId="0" fontId="17" fillId="34" borderId="12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9" fontId="18" fillId="33" borderId="10" xfId="59" applyFont="1" applyFill="1" applyBorder="1" applyAlignment="1">
      <alignment horizontal="center"/>
    </xf>
    <xf numFmtId="190" fontId="18" fillId="33" borderId="17" xfId="42" applyNumberFormat="1" applyFont="1" applyFill="1" applyBorder="1" applyAlignment="1">
      <alignment horizontal="center"/>
    </xf>
    <xf numFmtId="9" fontId="18" fillId="33" borderId="17" xfId="59" applyFont="1" applyFill="1" applyBorder="1" applyAlignment="1">
      <alignment horizontal="center"/>
    </xf>
    <xf numFmtId="9" fontId="18" fillId="33" borderId="25" xfId="59" applyFont="1" applyFill="1" applyBorder="1" applyAlignment="1">
      <alignment horizontal="center"/>
    </xf>
    <xf numFmtId="190" fontId="18" fillId="33" borderId="22" xfId="42" applyNumberFormat="1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3" fillId="34" borderId="49" xfId="0" applyFont="1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190" fontId="18" fillId="33" borderId="23" xfId="42" applyNumberFormat="1" applyFont="1" applyFill="1" applyBorder="1" applyAlignment="1">
      <alignment horizontal="center"/>
    </xf>
    <xf numFmtId="190" fontId="25" fillId="38" borderId="18" xfId="42" applyNumberFormat="1" applyFont="1" applyFill="1" applyBorder="1" applyAlignment="1">
      <alignment/>
    </xf>
    <xf numFmtId="0" fontId="27" fillId="38" borderId="38" xfId="0" applyFont="1" applyFill="1" applyBorder="1" applyAlignment="1">
      <alignment horizontal="right"/>
    </xf>
    <xf numFmtId="190" fontId="25" fillId="38" borderId="0" xfId="42" applyNumberFormat="1" applyFont="1" applyFill="1" applyBorder="1" applyAlignment="1">
      <alignment/>
    </xf>
    <xf numFmtId="0" fontId="27" fillId="38" borderId="37" xfId="0" applyFont="1" applyFill="1" applyBorder="1" applyAlignment="1">
      <alignment horizontal="right"/>
    </xf>
    <xf numFmtId="190" fontId="25" fillId="33" borderId="10" xfId="42" applyNumberFormat="1" applyFont="1" applyFill="1" applyBorder="1" applyAlignment="1">
      <alignment/>
    </xf>
    <xf numFmtId="0" fontId="27" fillId="34" borderId="17" xfId="0" applyFont="1" applyFill="1" applyBorder="1" applyAlignment="1">
      <alignment horizontal="right"/>
    </xf>
    <xf numFmtId="0" fontId="26" fillId="34" borderId="17" xfId="0" applyFont="1" applyFill="1" applyBorder="1" applyAlignment="1">
      <alignment horizontal="right"/>
    </xf>
    <xf numFmtId="190" fontId="25" fillId="33" borderId="25" xfId="42" applyNumberFormat="1" applyFont="1" applyFill="1" applyBorder="1" applyAlignment="1">
      <alignment/>
    </xf>
    <xf numFmtId="190" fontId="25" fillId="33" borderId="17" xfId="42" applyNumberFormat="1" applyFont="1" applyFill="1" applyBorder="1" applyAlignment="1">
      <alignment/>
    </xf>
    <xf numFmtId="190" fontId="25" fillId="33" borderId="22" xfId="42" applyNumberFormat="1" applyFont="1" applyFill="1" applyBorder="1" applyAlignment="1">
      <alignment/>
    </xf>
    <xf numFmtId="190" fontId="18" fillId="33" borderId="35" xfId="42" applyNumberFormat="1" applyFont="1" applyFill="1" applyBorder="1" applyAlignment="1">
      <alignment horizontal="right"/>
    </xf>
    <xf numFmtId="190" fontId="25" fillId="33" borderId="31" xfId="42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190" fontId="18" fillId="38" borderId="51" xfId="42" applyNumberFormat="1" applyFont="1" applyFill="1" applyBorder="1" applyAlignment="1">
      <alignment/>
    </xf>
    <xf numFmtId="190" fontId="30" fillId="33" borderId="0" xfId="0" applyNumberFormat="1" applyFont="1" applyFill="1" applyAlignment="1">
      <alignment/>
    </xf>
    <xf numFmtId="0" fontId="6" fillId="34" borderId="3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right"/>
    </xf>
    <xf numFmtId="0" fontId="17" fillId="34" borderId="0" xfId="0" applyFont="1" applyFill="1" applyBorder="1" applyAlignment="1">
      <alignment horizontal="right"/>
    </xf>
    <xf numFmtId="0" fontId="17" fillId="34" borderId="17" xfId="0" applyFont="1" applyFill="1" applyBorder="1" applyAlignment="1">
      <alignment horizontal="right"/>
    </xf>
    <xf numFmtId="0" fontId="15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7" fillId="34" borderId="31" xfId="0" applyFont="1" applyFill="1" applyBorder="1" applyAlignment="1">
      <alignment horizontal="right"/>
    </xf>
    <xf numFmtId="0" fontId="17" fillId="34" borderId="23" xfId="0" applyFont="1" applyFill="1" applyBorder="1" applyAlignment="1">
      <alignment horizontal="right"/>
    </xf>
    <xf numFmtId="0" fontId="15" fillId="34" borderId="3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53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right"/>
    </xf>
    <xf numFmtId="0" fontId="3" fillId="40" borderId="32" xfId="0" applyFont="1" applyFill="1" applyBorder="1" applyAlignment="1">
      <alignment horizontal="center"/>
    </xf>
    <xf numFmtId="0" fontId="3" fillId="40" borderId="24" xfId="0" applyFont="1" applyFill="1" applyBorder="1" applyAlignment="1">
      <alignment horizontal="center"/>
    </xf>
    <xf numFmtId="0" fontId="3" fillId="41" borderId="32" xfId="0" applyFont="1" applyFill="1" applyBorder="1" applyAlignment="1">
      <alignment horizontal="center"/>
    </xf>
    <xf numFmtId="0" fontId="3" fillId="41" borderId="24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44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54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3" fillId="38" borderId="57" xfId="0" applyFont="1" applyFill="1" applyBorder="1" applyAlignment="1">
      <alignment horizontal="center"/>
    </xf>
    <xf numFmtId="0" fontId="3" fillId="38" borderId="58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22" fillId="34" borderId="28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0" fillId="34" borderId="3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30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28" fillId="34" borderId="32" xfId="0" applyFont="1" applyFill="1" applyBorder="1" applyAlignment="1">
      <alignment horizontal="center"/>
    </xf>
    <xf numFmtId="0" fontId="26" fillId="34" borderId="24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right"/>
    </xf>
    <xf numFmtId="0" fontId="10" fillId="34" borderId="24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right"/>
    </xf>
    <xf numFmtId="0" fontId="23" fillId="34" borderId="32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17" fillId="34" borderId="32" xfId="0" applyFont="1" applyFill="1" applyBorder="1" applyAlignment="1">
      <alignment horizontal="right"/>
    </xf>
    <xf numFmtId="0" fontId="17" fillId="34" borderId="24" xfId="0" applyFont="1" applyFill="1" applyBorder="1" applyAlignment="1">
      <alignment horizontal="right"/>
    </xf>
    <xf numFmtId="0" fontId="17" fillId="34" borderId="33" xfId="0" applyFont="1" applyFill="1" applyBorder="1" applyAlignment="1">
      <alignment horizontal="right"/>
    </xf>
    <xf numFmtId="0" fontId="24" fillId="34" borderId="32" xfId="0" applyFont="1" applyFill="1" applyBorder="1" applyAlignment="1">
      <alignment horizontal="center"/>
    </xf>
    <xf numFmtId="0" fontId="24" fillId="34" borderId="52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31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16" fillId="34" borderId="30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33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576;&#1608;&#1583;&#1580;&#1607; &#1601;&#1585;&#1608;&#1588;'!B14" /><Relationship Id="rId2" Type="http://schemas.openxmlformats.org/officeDocument/2006/relationships/hyperlink" Target="#'&#1576;&#1608;&#1583;&#1580;&#1607; &#1578;&#1608;&#1604;&#1610;&#1583;'!A1" /><Relationship Id="rId3" Type="http://schemas.openxmlformats.org/officeDocument/2006/relationships/hyperlink" Target="#'&#1576;&#1608;&#1583;&#1580;&#1607; &#1601;&#1585;&#1608;&#1588;'!A1" /><Relationship Id="rId4" Type="http://schemas.openxmlformats.org/officeDocument/2006/relationships/hyperlink" Target="#'&#1576;&#1608;&#1583;&#1580;&#1607; &#1583;&#1587;&#1578;&#1605;&#1586;&#1583; &#1605;&#1587;&#1578;&#1602;&#1610;&#1605; '!A1" /><Relationship Id="rId5" Type="http://schemas.openxmlformats.org/officeDocument/2006/relationships/hyperlink" Target="#'&#1576;&#1608;&#1583;&#1580;&#1607; &#1605;&#1608;&#1575;&#1583; &#1605;&#1587;&#1578;&#1602;&#1610;&#1605;'!A1" /><Relationship Id="rId6" Type="http://schemas.openxmlformats.org/officeDocument/2006/relationships/hyperlink" Target="#'&#1576;&#1608;&#1583;&#1580;&#1607; &#1576;&#1607;&#1575;&#1610; &#1578;&#1605;&#1575;&#1605; &#1588;&#1583;&#1607; &#1603;&#1575;&#1604;&#1575;&#1610; &#1601;&#1585;&#1608;&#1588; '!A1" /><Relationship Id="rId7" Type="http://schemas.openxmlformats.org/officeDocument/2006/relationships/hyperlink" Target="#'&#1576;&#1608;&#1583;&#1580;&#1607; &#1607;&#1586;&#1610;&#1606;&#1607; &#1607;&#1575;&#1610; &#1575;&#1583;&#1575;&#1585;&#1610; &#1608; &#1601;&#1585;&#1608;&#1588;'!A1" /><Relationship Id="rId8" Type="http://schemas.openxmlformats.org/officeDocument/2006/relationships/hyperlink" Target="#'&#1576;&#1608;&#1583;&#1580;&#1607; &#1607;&#1586;&#1610;&#1606;&#1607; &#1607;&#1575;&#1610; &#1575;&#1583;&#1575;&#1585;&#1610; &#1608; &#1601;&#1585;&#1608;&#1588;'!A1" /><Relationship Id="rId9" Type="http://schemas.openxmlformats.org/officeDocument/2006/relationships/hyperlink" Target="#'&#1589;&#1608;&#1585;&#1578; &#1587;&#1608;&#1583; &#1608;&#1586;&#1740;&#1575;&#1606; &#1576;&#1608;&#1583;&#1580;&#1607; &#1588;&#1583;&#1607;'!A1" /><Relationship Id="rId10" Type="http://schemas.openxmlformats.org/officeDocument/2006/relationships/hyperlink" Target="#'&#1578;&#1585;&#1575;&#1586;&#1606;&#1575;&#1605;&#1607; &#1576;&#1608;&#1583;&#1580;&#1607; &#1588;&#1583;&#1607; '!A1" /><Relationship Id="rId11" Type="http://schemas.openxmlformats.org/officeDocument/2006/relationships/hyperlink" Target="#'&#1576;&#1608;&#1583;&#1580;&#1607; &#1606;&#1602;&#1583;&#1740; '!A1" /><Relationship Id="rId12" Type="http://schemas.openxmlformats.org/officeDocument/2006/relationships/hyperlink" Target="#'&#1576;&#1608;&#1583;&#1580;&#1607; &#1605;&#1582;&#1575;&#1585;&#1580; &#1587;&#1585;&#1605;&#1575;&#1740;&#1607; &#1575;&#1740;'!A1" /><Relationship Id="rId13" Type="http://schemas.openxmlformats.org/officeDocument/2006/relationships/hyperlink" Target="#'&#1589;&#1608;&#1585;&#1578; &#1711;&#1585;&#1583;&#1588; &#1608;&#1580;&#1608;&#1607; &#1606;&#1602;&#1583; &#1576;&#1608;&#1583;&#1580;&#1607; &#1588;&#1583;&#1607;'!A1" /><Relationship Id="rId14" Type="http://schemas.openxmlformats.org/officeDocument/2006/relationships/hyperlink" Target="#'&#1576;&#1608;&#1583;&#1580;&#1607; &#1587;&#1585;&#1576;&#1575;&#1585; &#1587;&#1575;&#1582;&#1578;'!A1" /><Relationship Id="rId15" Type="http://schemas.openxmlformats.org/officeDocument/2006/relationships/hyperlink" Target="#'&#1583;&#1575;&#1583;&#1607; &#1607;&#1575;'!A1" /><Relationship Id="rId16" Type="http://schemas.openxmlformats.org/officeDocument/2006/relationships/hyperlink" Target="#&#1662;&#1575;&#1740;&#1575;&#1606;!A1" /><Relationship Id="rId17" Type="http://schemas.openxmlformats.org/officeDocument/2006/relationships/hyperlink" Target="#&#1606;&#1605;&#1608;&#1583;&#1575;&#1585;!A1" /><Relationship Id="rId18" Type="http://schemas.openxmlformats.org/officeDocument/2006/relationships/hyperlink" Target="#&#1606;&#1605;&#1608;&#1583;&#1575;&#1585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Relationship Id="rId2" Type="http://schemas.openxmlformats.org/officeDocument/2006/relationships/hyperlink" Target="#&#1606;&#1605;&#1608;&#1583;&#1575;&#158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Relationship Id="rId2" Type="http://schemas.openxmlformats.org/officeDocument/2006/relationships/hyperlink" Target="#&#1606;&#1605;&#1608;&#1583;&#1575;&#158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Relationship Id="rId2" Type="http://schemas.openxmlformats.org/officeDocument/2006/relationships/hyperlink" Target="#&#1606;&#1605;&#1608;&#1583;&#1575;&#158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Relationship Id="rId2" Type="http://schemas.openxmlformats.org/officeDocument/2006/relationships/hyperlink" Target="#&#1606;&#1605;&#1608;&#1583;&#1575;&#1585;!A1" /><Relationship Id="rId3" Type="http://schemas.openxmlformats.org/officeDocument/2006/relationships/hyperlink" Target="#&#1606;&#1605;&#1608;&#1583;&#1575;&#158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Relationship Id="rId2" Type="http://schemas.openxmlformats.org/officeDocument/2006/relationships/hyperlink" Target="#&#1606;&#1605;&#1608;&#1583;&#1575;&#158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606;&#1605;&#1608;&#1583;&#1575;&#158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9</xdr:col>
      <xdr:colOff>790575</xdr:colOff>
      <xdr:row>49</xdr:row>
      <xdr:rowOff>152400</xdr:rowOff>
    </xdr:to>
    <xdr:grpSp>
      <xdr:nvGrpSpPr>
        <xdr:cNvPr id="1" name="Group 90"/>
        <xdr:cNvGrpSpPr>
          <a:grpSpLocks/>
        </xdr:cNvGrpSpPr>
      </xdr:nvGrpSpPr>
      <xdr:grpSpPr>
        <a:xfrm>
          <a:off x="647700" y="876300"/>
          <a:ext cx="5629275" cy="7210425"/>
          <a:chOff x="4" y="143"/>
          <a:chExt cx="591" cy="757"/>
        </a:xfrm>
        <a:solidFill>
          <a:srgbClr val="FFFFFF"/>
        </a:solidFill>
      </xdr:grpSpPr>
      <xdr:sp macro="[0]!Oval15_Click">
        <xdr:nvSpPr>
          <xdr:cNvPr id="2" name="Oval 16">
            <a:hlinkClick r:id="rId1"/>
          </xdr:cNvPr>
          <xdr:cNvSpPr>
            <a:spLocks/>
          </xdr:cNvSpPr>
        </xdr:nvSpPr>
        <xdr:spPr>
          <a:xfrm>
            <a:off x="270" y="219"/>
            <a:ext cx="115" cy="52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54864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بودجه فروش</a:t>
            </a:r>
          </a:p>
        </xdr:txBody>
      </xdr:sp>
      <xdr:sp macro="[0]!Oval15_Click">
        <xdr:nvSpPr>
          <xdr:cNvPr id="3" name="Oval 17">
            <a:hlinkClick r:id="rId2"/>
          </xdr:cNvPr>
          <xdr:cNvSpPr>
            <a:spLocks/>
          </xdr:cNvSpPr>
        </xdr:nvSpPr>
        <xdr:spPr>
          <a:xfrm>
            <a:off x="270" y="29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54864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بودجه توليد</a:t>
            </a:r>
          </a:p>
        </xdr:txBody>
      </xdr:sp>
      <xdr:sp macro="[0]!Oval15_Click">
        <xdr:nvSpPr>
          <xdr:cNvPr id="4" name="Oval 18">
            <a:hlinkClick r:id="rId3"/>
          </xdr:cNvPr>
          <xdr:cNvSpPr>
            <a:spLocks/>
          </xdr:cNvSpPr>
        </xdr:nvSpPr>
        <xdr:spPr>
          <a:xfrm>
            <a:off x="133" y="29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بودجه موجودي کالای پايان دوره</a:t>
            </a:r>
          </a:p>
        </xdr:txBody>
      </xdr:sp>
      <xdr:sp macro="[0]!Oval15_Click">
        <xdr:nvSpPr>
          <xdr:cNvPr id="5" name="Oval 19">
            <a:hlinkClick r:id="rId4"/>
          </xdr:cNvPr>
          <xdr:cNvSpPr>
            <a:spLocks/>
          </xdr:cNvSpPr>
        </xdr:nvSpPr>
        <xdr:spPr>
          <a:xfrm>
            <a:off x="268" y="405"/>
            <a:ext cx="116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بودجه دستمزد مستقيم</a:t>
            </a:r>
          </a:p>
        </xdr:txBody>
      </xdr:sp>
      <xdr:sp macro="[0]!Oval15_Click">
        <xdr:nvSpPr>
          <xdr:cNvPr id="6" name="Oval 20">
            <a:hlinkClick r:id="rId5"/>
          </xdr:cNvPr>
          <xdr:cNvSpPr>
            <a:spLocks/>
          </xdr:cNvSpPr>
        </xdr:nvSpPr>
        <xdr:spPr>
          <a:xfrm>
            <a:off x="133" y="404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بودجه مواد مستقيم</a:t>
            </a:r>
          </a:p>
        </xdr:txBody>
      </xdr:sp>
      <xdr:sp macro="[0]!Oval15_Click">
        <xdr:nvSpPr>
          <xdr:cNvPr id="7" name="Oval 22">
            <a:hlinkClick r:id="rId6"/>
          </xdr:cNvPr>
          <xdr:cNvSpPr>
            <a:spLocks/>
          </xdr:cNvSpPr>
        </xdr:nvSpPr>
        <xdr:spPr>
          <a:xfrm>
            <a:off x="270" y="478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بودجه بهاي تمام شده كالاي فروش رفته</a:t>
            </a:r>
          </a:p>
        </xdr:txBody>
      </xdr:sp>
      <xdr:sp macro="[0]!Oval15_Click">
        <xdr:nvSpPr>
          <xdr:cNvPr id="8" name="Oval 24">
            <a:hlinkClick r:id="rId7"/>
          </xdr:cNvPr>
          <xdr:cNvSpPr>
            <a:spLocks/>
          </xdr:cNvSpPr>
        </xdr:nvSpPr>
        <xdr:spPr>
          <a:xfrm>
            <a:off x="271" y="549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بودجه هزينه هاي فروش</a:t>
            </a:r>
          </a:p>
        </xdr:txBody>
      </xdr:sp>
      <xdr:sp macro="[0]!Oval15_Click">
        <xdr:nvSpPr>
          <xdr:cNvPr id="9" name="Oval 25">
            <a:hlinkClick r:id="rId8"/>
          </xdr:cNvPr>
          <xdr:cNvSpPr>
            <a:spLocks/>
          </xdr:cNvSpPr>
        </xdr:nvSpPr>
        <xdr:spPr>
          <a:xfrm>
            <a:off x="270" y="622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بودجه هزينه هاي اداري</a:t>
            </a:r>
          </a:p>
        </xdr:txBody>
      </xdr:sp>
      <xdr:sp macro="[0]!Oval15_Click">
        <xdr:nvSpPr>
          <xdr:cNvPr id="10" name="Oval 26">
            <a:hlinkClick r:id="rId9"/>
          </xdr:cNvPr>
          <xdr:cNvSpPr>
            <a:spLocks/>
          </xdr:cNvSpPr>
        </xdr:nvSpPr>
        <xdr:spPr>
          <a:xfrm>
            <a:off x="232" y="700"/>
            <a:ext cx="191" cy="51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صورت سود وزيان بودجه شده</a:t>
            </a:r>
          </a:p>
        </xdr:txBody>
      </xdr:sp>
      <xdr:sp macro="[0]!Oval15_Click">
        <xdr:nvSpPr>
          <xdr:cNvPr id="11" name="Oval 27">
            <a:hlinkClick r:id="rId10"/>
          </xdr:cNvPr>
          <xdr:cNvSpPr>
            <a:spLocks/>
          </xdr:cNvSpPr>
        </xdr:nvSpPr>
        <xdr:spPr>
          <a:xfrm>
            <a:off x="267" y="77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ترازنامه بودجه اي</a:t>
            </a:r>
          </a:p>
        </xdr:txBody>
      </xdr:sp>
      <xdr:sp macro="[0]!Oval15_Click">
        <xdr:nvSpPr>
          <xdr:cNvPr id="12" name="Oval 28">
            <a:hlinkClick r:id="rId11"/>
          </xdr:cNvPr>
          <xdr:cNvSpPr>
            <a:spLocks/>
          </xdr:cNvSpPr>
        </xdr:nvSpPr>
        <xdr:spPr>
          <a:xfrm>
            <a:off x="137" y="77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بودجه نقدي</a:t>
            </a:r>
          </a:p>
        </xdr:txBody>
      </xdr:sp>
      <xdr:sp macro="[0]!Oval15_Click">
        <xdr:nvSpPr>
          <xdr:cNvPr id="13" name="Oval 29">
            <a:hlinkClick r:id="rId12"/>
          </xdr:cNvPr>
          <xdr:cNvSpPr>
            <a:spLocks/>
          </xdr:cNvSpPr>
        </xdr:nvSpPr>
        <xdr:spPr>
          <a:xfrm>
            <a:off x="4" y="77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بودجه هزينه هاي سرمايه اي</a:t>
            </a:r>
          </a:p>
        </xdr:txBody>
      </xdr:sp>
      <xdr:sp macro="[0]!Oval15_Click">
        <xdr:nvSpPr>
          <xdr:cNvPr id="14" name="Oval 30">
            <a:hlinkClick r:id="rId13"/>
          </xdr:cNvPr>
          <xdr:cNvSpPr>
            <a:spLocks/>
          </xdr:cNvSpPr>
        </xdr:nvSpPr>
        <xdr:spPr>
          <a:xfrm>
            <a:off x="404" y="773"/>
            <a:ext cx="191" cy="51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صورت جريان وجوه  نقد بودجه اي</a:t>
            </a:r>
          </a:p>
        </xdr:txBody>
      </xdr:sp>
      <xdr:sp macro="[0]!Oval15_Click">
        <xdr:nvSpPr>
          <xdr:cNvPr id="15" name="Oval 31">
            <a:hlinkClick r:id="rId14"/>
          </xdr:cNvPr>
          <xdr:cNvSpPr>
            <a:spLocks/>
          </xdr:cNvSpPr>
        </xdr:nvSpPr>
        <xdr:spPr>
          <a:xfrm>
            <a:off x="403" y="405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بودجه سربار ساخت</a:t>
            </a:r>
          </a:p>
        </xdr:txBody>
      </xdr:sp>
      <xdr:sp macro="[0]!Oval15_Click">
        <xdr:nvSpPr>
          <xdr:cNvPr id="16" name="Oval 32">
            <a:hlinkClick r:id="rId15"/>
          </xdr:cNvPr>
          <xdr:cNvSpPr>
            <a:spLocks/>
          </xdr:cNvSpPr>
        </xdr:nvSpPr>
        <xdr:spPr>
          <a:xfrm>
            <a:off x="272" y="14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54864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داده ها</a:t>
            </a:r>
          </a:p>
        </xdr:txBody>
      </xdr:sp>
      <xdr:sp macro="[0]!Oval15_Click">
        <xdr:nvSpPr>
          <xdr:cNvPr id="17" name="Oval 33">
            <a:hlinkClick r:id="rId16"/>
          </xdr:cNvPr>
          <xdr:cNvSpPr>
            <a:spLocks/>
          </xdr:cNvSpPr>
        </xdr:nvSpPr>
        <xdr:spPr>
          <a:xfrm>
            <a:off x="442" y="847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36576" tIns="54864" rIns="36576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پايان</a:t>
            </a:r>
          </a:p>
        </xdr:txBody>
      </xdr:sp>
    </xdr:grpSp>
    <xdr:clientData/>
  </xdr:twoCellAnchor>
  <xdr:twoCellAnchor>
    <xdr:from>
      <xdr:col>11</xdr:col>
      <xdr:colOff>123825</xdr:colOff>
      <xdr:row>2</xdr:row>
      <xdr:rowOff>28575</xdr:rowOff>
    </xdr:from>
    <xdr:to>
      <xdr:col>15</xdr:col>
      <xdr:colOff>523875</xdr:colOff>
      <xdr:row>36</xdr:row>
      <xdr:rowOff>114300</xdr:rowOff>
    </xdr:to>
    <xdr:grpSp>
      <xdr:nvGrpSpPr>
        <xdr:cNvPr id="18" name="Group 93"/>
        <xdr:cNvGrpSpPr>
          <a:grpSpLocks/>
        </xdr:cNvGrpSpPr>
      </xdr:nvGrpSpPr>
      <xdr:grpSpPr>
        <a:xfrm>
          <a:off x="7219950" y="352425"/>
          <a:ext cx="2838450" cy="5591175"/>
          <a:chOff x="713" y="37"/>
          <a:chExt cx="298" cy="587"/>
        </a:xfrm>
        <a:solidFill>
          <a:srgbClr val="FFFFFF"/>
        </a:solidFill>
      </xdr:grpSpPr>
      <xdr:sp>
        <xdr:nvSpPr>
          <xdr:cNvPr id="19" name="AutoShape 91"/>
          <xdr:cNvSpPr>
            <a:spLocks/>
          </xdr:cNvSpPr>
        </xdr:nvSpPr>
        <xdr:spPr>
          <a:xfrm>
            <a:off x="713" y="37"/>
            <a:ext cx="298" cy="587"/>
          </a:xfrm>
          <a:prstGeom prst="verticalScroll">
            <a:avLst/>
          </a:prstGeom>
          <a:gradFill rotWithShape="1">
            <a:gsLst>
              <a:gs pos="0">
                <a:srgbClr val="A9A9A9"/>
              </a:gs>
              <a:gs pos="50000">
                <a:srgbClr val="4D4D4D"/>
              </a:gs>
              <a:gs pos="100000">
                <a:srgbClr val="A9A9A9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36576" rIns="45720" bIns="0"/>
          <a:p>
            <a:pPr algn="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شما می توانید با کلیک بر روی هر یک از قسمت های نمودار به برگه بودجه مربوطه یا اطلاعات بودجه ای مربوطه دستیابی پیدا کنید.و سپس با کلیک روی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می توانید به نمودار بر گردید. </a:t>
            </a:r>
          </a:p>
        </xdr:txBody>
      </xdr:sp>
      <xdr:sp macro="[0]!Oval15_Click">
        <xdr:nvSpPr>
          <xdr:cNvPr id="20" name="Oval 92">
            <a:hlinkClick r:id="rId17"/>
          </xdr:cNvPr>
          <xdr:cNvSpPr>
            <a:spLocks/>
          </xdr:cNvSpPr>
        </xdr:nvSpPr>
        <xdr:spPr>
          <a:xfrm>
            <a:off x="785" y="379"/>
            <a:ext cx="101" cy="41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36576" tIns="50292" rIns="36576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بازگشت</a:t>
            </a:r>
          </a:p>
        </xdr:txBody>
      </xdr:sp>
    </xdr:grpSp>
    <xdr:clientData/>
  </xdr:twoCellAnchor>
  <xdr:twoCellAnchor>
    <xdr:from>
      <xdr:col>9</xdr:col>
      <xdr:colOff>276225</xdr:colOff>
      <xdr:row>11</xdr:row>
      <xdr:rowOff>57150</xdr:rowOff>
    </xdr:from>
    <xdr:to>
      <xdr:col>9</xdr:col>
      <xdr:colOff>276225</xdr:colOff>
      <xdr:row>31</xdr:row>
      <xdr:rowOff>0</xdr:rowOff>
    </xdr:to>
    <xdr:sp macro="[0]!Oval15_Click">
      <xdr:nvSpPr>
        <xdr:cNvPr id="21" name="Line 39"/>
        <xdr:cNvSpPr>
          <a:spLocks/>
        </xdr:cNvSpPr>
      </xdr:nvSpPr>
      <xdr:spPr>
        <a:xfrm>
          <a:off x="5762625" y="1838325"/>
          <a:ext cx="0" cy="3181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0</xdr:rowOff>
    </xdr:from>
    <xdr:to>
      <xdr:col>6</xdr:col>
      <xdr:colOff>95250</xdr:colOff>
      <xdr:row>5</xdr:row>
      <xdr:rowOff>57150</xdr:rowOff>
    </xdr:to>
    <xdr:sp macro="[0]!Oval15_Click">
      <xdr:nvSpPr>
        <xdr:cNvPr id="22" name="Line 48"/>
        <xdr:cNvSpPr>
          <a:spLocks/>
        </xdr:cNvSpPr>
      </xdr:nvSpPr>
      <xdr:spPr>
        <a:xfrm>
          <a:off x="3752850" y="64770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66675</xdr:rowOff>
    </xdr:from>
    <xdr:to>
      <xdr:col>6</xdr:col>
      <xdr:colOff>76200</xdr:colOff>
      <xdr:row>9</xdr:row>
      <xdr:rowOff>123825</xdr:rowOff>
    </xdr:to>
    <xdr:sp macro="[0]!Oval15_Click">
      <xdr:nvSpPr>
        <xdr:cNvPr id="23" name="Line 49"/>
        <xdr:cNvSpPr>
          <a:spLocks/>
        </xdr:cNvSpPr>
      </xdr:nvSpPr>
      <xdr:spPr>
        <a:xfrm>
          <a:off x="3733800" y="1362075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123825</xdr:rowOff>
    </xdr:from>
    <xdr:to>
      <xdr:col>6</xdr:col>
      <xdr:colOff>95250</xdr:colOff>
      <xdr:row>14</xdr:row>
      <xdr:rowOff>19050</xdr:rowOff>
    </xdr:to>
    <xdr:sp macro="[0]!Oval15_Click">
      <xdr:nvSpPr>
        <xdr:cNvPr id="24" name="Line 50"/>
        <xdr:cNvSpPr>
          <a:spLocks/>
        </xdr:cNvSpPr>
      </xdr:nvSpPr>
      <xdr:spPr>
        <a:xfrm>
          <a:off x="3752850" y="2066925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133350</xdr:rowOff>
    </xdr:from>
    <xdr:to>
      <xdr:col>6</xdr:col>
      <xdr:colOff>76200</xdr:colOff>
      <xdr:row>25</xdr:row>
      <xdr:rowOff>28575</xdr:rowOff>
    </xdr:to>
    <xdr:sp macro="[0]!Oval15_Click">
      <xdr:nvSpPr>
        <xdr:cNvPr id="25" name="Line 51"/>
        <xdr:cNvSpPr>
          <a:spLocks/>
        </xdr:cNvSpPr>
      </xdr:nvSpPr>
      <xdr:spPr>
        <a:xfrm>
          <a:off x="3733800" y="3857625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0</xdr:rowOff>
    </xdr:from>
    <xdr:to>
      <xdr:col>6</xdr:col>
      <xdr:colOff>66675</xdr:colOff>
      <xdr:row>29</xdr:row>
      <xdr:rowOff>57150</xdr:rowOff>
    </xdr:to>
    <xdr:sp macro="[0]!Oval15_Click">
      <xdr:nvSpPr>
        <xdr:cNvPr id="26" name="Line 52"/>
        <xdr:cNvSpPr>
          <a:spLocks/>
        </xdr:cNvSpPr>
      </xdr:nvSpPr>
      <xdr:spPr>
        <a:xfrm>
          <a:off x="3724275" y="453390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38100</xdr:rowOff>
    </xdr:from>
    <xdr:to>
      <xdr:col>6</xdr:col>
      <xdr:colOff>66675</xdr:colOff>
      <xdr:row>33</xdr:row>
      <xdr:rowOff>95250</xdr:rowOff>
    </xdr:to>
    <xdr:sp macro="[0]!Oval15_Click">
      <xdr:nvSpPr>
        <xdr:cNvPr id="27" name="Line 53"/>
        <xdr:cNvSpPr>
          <a:spLocks/>
        </xdr:cNvSpPr>
      </xdr:nvSpPr>
      <xdr:spPr>
        <a:xfrm>
          <a:off x="3724275" y="521970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114300</xdr:rowOff>
    </xdr:from>
    <xdr:to>
      <xdr:col>6</xdr:col>
      <xdr:colOff>76200</xdr:colOff>
      <xdr:row>38</xdr:row>
      <xdr:rowOff>9525</xdr:rowOff>
    </xdr:to>
    <xdr:sp macro="[0]!Oval15_Click">
      <xdr:nvSpPr>
        <xdr:cNvPr id="28" name="Line 54"/>
        <xdr:cNvSpPr>
          <a:spLocks/>
        </xdr:cNvSpPr>
      </xdr:nvSpPr>
      <xdr:spPr>
        <a:xfrm>
          <a:off x="3733800" y="594360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41</xdr:row>
      <xdr:rowOff>9525</xdr:rowOff>
    </xdr:from>
    <xdr:to>
      <xdr:col>6</xdr:col>
      <xdr:colOff>85725</xdr:colOff>
      <xdr:row>42</xdr:row>
      <xdr:rowOff>66675</xdr:rowOff>
    </xdr:to>
    <xdr:sp macro="[0]!Oval15_Click">
      <xdr:nvSpPr>
        <xdr:cNvPr id="29" name="Line 55"/>
        <xdr:cNvSpPr>
          <a:spLocks/>
        </xdr:cNvSpPr>
      </xdr:nvSpPr>
      <xdr:spPr>
        <a:xfrm>
          <a:off x="3743325" y="664845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15</xdr:row>
      <xdr:rowOff>123825</xdr:rowOff>
    </xdr:from>
    <xdr:to>
      <xdr:col>5</xdr:col>
      <xdr:colOff>133350</xdr:colOff>
      <xdr:row>15</xdr:row>
      <xdr:rowOff>123825</xdr:rowOff>
    </xdr:to>
    <xdr:sp macro="[0]!Oval15_Click">
      <xdr:nvSpPr>
        <xdr:cNvPr id="30" name="Line 57"/>
        <xdr:cNvSpPr>
          <a:spLocks/>
        </xdr:cNvSpPr>
      </xdr:nvSpPr>
      <xdr:spPr>
        <a:xfrm>
          <a:off x="2971800" y="2552700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104775</xdr:rowOff>
    </xdr:from>
    <xdr:to>
      <xdr:col>3</xdr:col>
      <xdr:colOff>38100</xdr:colOff>
      <xdr:row>15</xdr:row>
      <xdr:rowOff>104775</xdr:rowOff>
    </xdr:to>
    <xdr:sp macro="[0]!Oval15_Click">
      <xdr:nvSpPr>
        <xdr:cNvPr id="31" name="Line 59"/>
        <xdr:cNvSpPr>
          <a:spLocks/>
        </xdr:cNvSpPr>
      </xdr:nvSpPr>
      <xdr:spPr>
        <a:xfrm flipH="1">
          <a:off x="1552575" y="2533650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</xdr:row>
      <xdr:rowOff>104775</xdr:rowOff>
    </xdr:from>
    <xdr:to>
      <xdr:col>2</xdr:col>
      <xdr:colOff>342900</xdr:colOff>
      <xdr:row>27</xdr:row>
      <xdr:rowOff>38100</xdr:rowOff>
    </xdr:to>
    <xdr:sp macro="[0]!Oval15_Click">
      <xdr:nvSpPr>
        <xdr:cNvPr id="32" name="Line 60"/>
        <xdr:cNvSpPr>
          <a:spLocks/>
        </xdr:cNvSpPr>
      </xdr:nvSpPr>
      <xdr:spPr>
        <a:xfrm>
          <a:off x="1562100" y="2533650"/>
          <a:ext cx="0" cy="187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38100</xdr:rowOff>
    </xdr:from>
    <xdr:to>
      <xdr:col>5</xdr:col>
      <xdr:colOff>152400</xdr:colOff>
      <xdr:row>27</xdr:row>
      <xdr:rowOff>38100</xdr:rowOff>
    </xdr:to>
    <xdr:sp macro="[0]!Oval15_Click">
      <xdr:nvSpPr>
        <xdr:cNvPr id="33" name="Line 61"/>
        <xdr:cNvSpPr>
          <a:spLocks/>
        </xdr:cNvSpPr>
      </xdr:nvSpPr>
      <xdr:spPr>
        <a:xfrm>
          <a:off x="1562100" y="4410075"/>
          <a:ext cx="163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57150</xdr:rowOff>
    </xdr:from>
    <xdr:to>
      <xdr:col>6</xdr:col>
      <xdr:colOff>104775</xdr:colOff>
      <xdr:row>19</xdr:row>
      <xdr:rowOff>0</xdr:rowOff>
    </xdr:to>
    <xdr:sp macro="[0]!Oval15_Click">
      <xdr:nvSpPr>
        <xdr:cNvPr id="34" name="Line 63"/>
        <xdr:cNvSpPr>
          <a:spLocks/>
        </xdr:cNvSpPr>
      </xdr:nvSpPr>
      <xdr:spPr>
        <a:xfrm>
          <a:off x="3762375" y="280987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0</xdr:rowOff>
    </xdr:from>
    <xdr:to>
      <xdr:col>8</xdr:col>
      <xdr:colOff>161925</xdr:colOff>
      <xdr:row>19</xdr:row>
      <xdr:rowOff>0</xdr:rowOff>
    </xdr:to>
    <xdr:sp macro="[0]!Oval15_Click">
      <xdr:nvSpPr>
        <xdr:cNvPr id="35" name="Line 65"/>
        <xdr:cNvSpPr>
          <a:spLocks/>
        </xdr:cNvSpPr>
      </xdr:nvSpPr>
      <xdr:spPr>
        <a:xfrm flipH="1">
          <a:off x="2428875" y="3076575"/>
          <a:ext cx="2609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19</xdr:row>
      <xdr:rowOff>0</xdr:rowOff>
    </xdr:from>
    <xdr:to>
      <xdr:col>8</xdr:col>
      <xdr:colOff>161925</xdr:colOff>
      <xdr:row>20</xdr:row>
      <xdr:rowOff>104775</xdr:rowOff>
    </xdr:to>
    <xdr:sp macro="[0]!Oval15_Click">
      <xdr:nvSpPr>
        <xdr:cNvPr id="36" name="Line 66"/>
        <xdr:cNvSpPr>
          <a:spLocks/>
        </xdr:cNvSpPr>
      </xdr:nvSpPr>
      <xdr:spPr>
        <a:xfrm>
          <a:off x="5038725" y="307657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0</xdr:rowOff>
    </xdr:from>
    <xdr:to>
      <xdr:col>6</xdr:col>
      <xdr:colOff>104775</xdr:colOff>
      <xdr:row>20</xdr:row>
      <xdr:rowOff>104775</xdr:rowOff>
    </xdr:to>
    <xdr:sp macro="[0]!Oval15_Click">
      <xdr:nvSpPr>
        <xdr:cNvPr id="37" name="Line 67"/>
        <xdr:cNvSpPr>
          <a:spLocks/>
        </xdr:cNvSpPr>
      </xdr:nvSpPr>
      <xdr:spPr>
        <a:xfrm>
          <a:off x="3762375" y="307657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0</xdr:rowOff>
    </xdr:from>
    <xdr:to>
      <xdr:col>3</xdr:col>
      <xdr:colOff>600075</xdr:colOff>
      <xdr:row>20</xdr:row>
      <xdr:rowOff>104775</xdr:rowOff>
    </xdr:to>
    <xdr:sp macro="[0]!Oval15_Click">
      <xdr:nvSpPr>
        <xdr:cNvPr id="38" name="Line 68"/>
        <xdr:cNvSpPr>
          <a:spLocks/>
        </xdr:cNvSpPr>
      </xdr:nvSpPr>
      <xdr:spPr>
        <a:xfrm>
          <a:off x="2428875" y="307657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23</xdr:row>
      <xdr:rowOff>152400</xdr:rowOff>
    </xdr:from>
    <xdr:to>
      <xdr:col>8</xdr:col>
      <xdr:colOff>142875</xdr:colOff>
      <xdr:row>26</xdr:row>
      <xdr:rowOff>133350</xdr:rowOff>
    </xdr:to>
    <xdr:sp macro="[0]!Oval15_Click">
      <xdr:nvSpPr>
        <xdr:cNvPr id="39" name="Line 69"/>
        <xdr:cNvSpPr>
          <a:spLocks/>
        </xdr:cNvSpPr>
      </xdr:nvSpPr>
      <xdr:spPr>
        <a:xfrm>
          <a:off x="5019675" y="3876675"/>
          <a:ext cx="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23</xdr:row>
      <xdr:rowOff>123825</xdr:rowOff>
    </xdr:from>
    <xdr:to>
      <xdr:col>3</xdr:col>
      <xdr:colOff>600075</xdr:colOff>
      <xdr:row>26</xdr:row>
      <xdr:rowOff>28575</xdr:rowOff>
    </xdr:to>
    <xdr:sp macro="[0]!Oval15_Click">
      <xdr:nvSpPr>
        <xdr:cNvPr id="40" name="Line 71"/>
        <xdr:cNvSpPr>
          <a:spLocks/>
        </xdr:cNvSpPr>
      </xdr:nvSpPr>
      <xdr:spPr>
        <a:xfrm>
          <a:off x="2428875" y="3848100"/>
          <a:ext cx="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26</xdr:row>
      <xdr:rowOff>28575</xdr:rowOff>
    </xdr:from>
    <xdr:to>
      <xdr:col>5</xdr:col>
      <xdr:colOff>133350</xdr:colOff>
      <xdr:row>26</xdr:row>
      <xdr:rowOff>28575</xdr:rowOff>
    </xdr:to>
    <xdr:sp macro="[0]!Oval15_Click">
      <xdr:nvSpPr>
        <xdr:cNvPr id="41" name="Line 72"/>
        <xdr:cNvSpPr>
          <a:spLocks/>
        </xdr:cNvSpPr>
      </xdr:nvSpPr>
      <xdr:spPr>
        <a:xfrm>
          <a:off x="2428875" y="4238625"/>
          <a:ext cx="752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133350</xdr:rowOff>
    </xdr:from>
    <xdr:to>
      <xdr:col>8</xdr:col>
      <xdr:colOff>152400</xdr:colOff>
      <xdr:row>26</xdr:row>
      <xdr:rowOff>133350</xdr:rowOff>
    </xdr:to>
    <xdr:sp macro="[0]!Oval15_Click">
      <xdr:nvSpPr>
        <xdr:cNvPr id="42" name="Line 73"/>
        <xdr:cNvSpPr>
          <a:spLocks/>
        </xdr:cNvSpPr>
      </xdr:nvSpPr>
      <xdr:spPr>
        <a:xfrm flipH="1">
          <a:off x="4286250" y="43434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44</xdr:row>
      <xdr:rowOff>9525</xdr:rowOff>
    </xdr:from>
    <xdr:to>
      <xdr:col>3</xdr:col>
      <xdr:colOff>85725</xdr:colOff>
      <xdr:row>44</xdr:row>
      <xdr:rowOff>9525</xdr:rowOff>
    </xdr:to>
    <xdr:sp macro="[0]!Oval15_Click">
      <xdr:nvSpPr>
        <xdr:cNvPr id="43" name="Line 74"/>
        <xdr:cNvSpPr>
          <a:spLocks/>
        </xdr:cNvSpPr>
      </xdr:nvSpPr>
      <xdr:spPr>
        <a:xfrm>
          <a:off x="1743075" y="7134225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44</xdr:row>
      <xdr:rowOff>0</xdr:rowOff>
    </xdr:from>
    <xdr:to>
      <xdr:col>5</xdr:col>
      <xdr:colOff>104775</xdr:colOff>
      <xdr:row>44</xdr:row>
      <xdr:rowOff>0</xdr:rowOff>
    </xdr:to>
    <xdr:sp macro="[0]!Oval15_Click">
      <xdr:nvSpPr>
        <xdr:cNvPr id="44" name="Line 75"/>
        <xdr:cNvSpPr>
          <a:spLocks/>
        </xdr:cNvSpPr>
      </xdr:nvSpPr>
      <xdr:spPr>
        <a:xfrm>
          <a:off x="3000375" y="712470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171450</xdr:colOff>
      <xdr:row>44</xdr:row>
      <xdr:rowOff>0</xdr:rowOff>
    </xdr:to>
    <xdr:sp macro="[0]!Oval15_Click">
      <xdr:nvSpPr>
        <xdr:cNvPr id="45" name="Line 76"/>
        <xdr:cNvSpPr>
          <a:spLocks/>
        </xdr:cNvSpPr>
      </xdr:nvSpPr>
      <xdr:spPr>
        <a:xfrm>
          <a:off x="4267200" y="712470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45</xdr:row>
      <xdr:rowOff>76200</xdr:rowOff>
    </xdr:from>
    <xdr:to>
      <xdr:col>8</xdr:col>
      <xdr:colOff>552450</xdr:colOff>
      <xdr:row>46</xdr:row>
      <xdr:rowOff>133350</xdr:rowOff>
    </xdr:to>
    <xdr:sp macro="[0]!Oval15_Click">
      <xdr:nvSpPr>
        <xdr:cNvPr id="46" name="Line 77"/>
        <xdr:cNvSpPr>
          <a:spLocks/>
        </xdr:cNvSpPr>
      </xdr:nvSpPr>
      <xdr:spPr>
        <a:xfrm>
          <a:off x="5429250" y="7362825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9</xdr:col>
      <xdr:colOff>276225</xdr:colOff>
      <xdr:row>11</xdr:row>
      <xdr:rowOff>66675</xdr:rowOff>
    </xdr:to>
    <xdr:sp macro="[0]!Oval15_Click">
      <xdr:nvSpPr>
        <xdr:cNvPr id="47" name="Line 80"/>
        <xdr:cNvSpPr>
          <a:spLocks/>
        </xdr:cNvSpPr>
      </xdr:nvSpPr>
      <xdr:spPr>
        <a:xfrm flipH="1">
          <a:off x="4295775" y="1847850"/>
          <a:ext cx="146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152400</xdr:rowOff>
    </xdr:from>
    <xdr:to>
      <xdr:col>9</xdr:col>
      <xdr:colOff>266700</xdr:colOff>
      <xdr:row>30</xdr:row>
      <xdr:rowOff>152400</xdr:rowOff>
    </xdr:to>
    <xdr:sp macro="[0]!Oval15_Click">
      <xdr:nvSpPr>
        <xdr:cNvPr id="48" name="Line 81"/>
        <xdr:cNvSpPr>
          <a:spLocks/>
        </xdr:cNvSpPr>
      </xdr:nvSpPr>
      <xdr:spPr>
        <a:xfrm flipH="1">
          <a:off x="4286250" y="5010150"/>
          <a:ext cx="146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152400</xdr:rowOff>
    </xdr:from>
    <xdr:to>
      <xdr:col>7</xdr:col>
      <xdr:colOff>47625</xdr:colOff>
      <xdr:row>4</xdr:row>
      <xdr:rowOff>9525</xdr:rowOff>
    </xdr:to>
    <xdr:sp macro="[0]!Oval15_Click">
      <xdr:nvSpPr>
        <xdr:cNvPr id="49" name="Oval 85">
          <a:hlinkClick r:id="rId18"/>
        </xdr:cNvPr>
        <xdr:cNvSpPr>
          <a:spLocks/>
        </xdr:cNvSpPr>
      </xdr:nvSpPr>
      <xdr:spPr>
        <a:xfrm>
          <a:off x="3219450" y="152400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6400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شـروع</a:t>
          </a:r>
        </a:p>
      </xdr:txBody>
    </xdr:sp>
    <xdr:clientData/>
  </xdr:twoCellAnchor>
  <xdr:twoCellAnchor>
    <xdr:from>
      <xdr:col>0</xdr:col>
      <xdr:colOff>390525</xdr:colOff>
      <xdr:row>9</xdr:row>
      <xdr:rowOff>123825</xdr:rowOff>
    </xdr:from>
    <xdr:to>
      <xdr:col>1</xdr:col>
      <xdr:colOff>114300</xdr:colOff>
      <xdr:row>40</xdr:row>
      <xdr:rowOff>19050</xdr:rowOff>
    </xdr:to>
    <xdr:sp>
      <xdr:nvSpPr>
        <xdr:cNvPr id="50" name="AutoShape 94"/>
        <xdr:cNvSpPr>
          <a:spLocks/>
        </xdr:cNvSpPr>
      </xdr:nvSpPr>
      <xdr:spPr>
        <a:xfrm>
          <a:off x="390525" y="1581150"/>
          <a:ext cx="333375" cy="4914900"/>
        </a:xfrm>
        <a:prstGeom prst="leftBrac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152400</xdr:rowOff>
    </xdr:from>
    <xdr:to>
      <xdr:col>0</xdr:col>
      <xdr:colOff>419100</xdr:colOff>
      <xdr:row>28</xdr:row>
      <xdr:rowOff>66675</xdr:rowOff>
    </xdr:to>
    <xdr:sp>
      <xdr:nvSpPr>
        <xdr:cNvPr id="51" name="WordArt 95"/>
        <xdr:cNvSpPr>
          <a:spLocks/>
        </xdr:cNvSpPr>
      </xdr:nvSpPr>
      <xdr:spPr>
        <a:xfrm rot="16200000">
          <a:off x="57150" y="3390900"/>
          <a:ext cx="361950" cy="1209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noFill/>
              </a:ln>
              <a:solidFill>
                <a:srgbClr val="00FF0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بودجه عملیاتی</a:t>
          </a:r>
        </a:p>
      </xdr:txBody>
    </xdr:sp>
    <xdr:clientData/>
  </xdr:twoCellAnchor>
  <xdr:twoCellAnchor>
    <xdr:from>
      <xdr:col>0</xdr:col>
      <xdr:colOff>381000</xdr:colOff>
      <xdr:row>41</xdr:row>
      <xdr:rowOff>28575</xdr:rowOff>
    </xdr:from>
    <xdr:to>
      <xdr:col>1</xdr:col>
      <xdr:colOff>104775</xdr:colOff>
      <xdr:row>47</xdr:row>
      <xdr:rowOff>47625</xdr:rowOff>
    </xdr:to>
    <xdr:sp>
      <xdr:nvSpPr>
        <xdr:cNvPr id="52" name="AutoShape 96"/>
        <xdr:cNvSpPr>
          <a:spLocks/>
        </xdr:cNvSpPr>
      </xdr:nvSpPr>
      <xdr:spPr>
        <a:xfrm>
          <a:off x="381000" y="6667500"/>
          <a:ext cx="333375" cy="990600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133350</xdr:rowOff>
    </xdr:from>
    <xdr:to>
      <xdr:col>0</xdr:col>
      <xdr:colOff>447675</xdr:colOff>
      <xdr:row>47</xdr:row>
      <xdr:rowOff>19050</xdr:rowOff>
    </xdr:to>
    <xdr:sp>
      <xdr:nvSpPr>
        <xdr:cNvPr id="53" name="WordArt 97"/>
        <xdr:cNvSpPr>
          <a:spLocks/>
        </xdr:cNvSpPr>
      </xdr:nvSpPr>
      <xdr:spPr>
        <a:xfrm rot="16200000">
          <a:off x="19050" y="6772275"/>
          <a:ext cx="428625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noFill/>
              </a:ln>
              <a:solidFill>
                <a:srgbClr val="0000FF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B Zar"/>
              <a:cs typeface="B Zar"/>
            </a:rPr>
            <a:t>بودجه مالی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2</xdr:col>
      <xdr:colOff>57150</xdr:colOff>
      <xdr:row>3</xdr:row>
      <xdr:rowOff>152400</xdr:rowOff>
    </xdr:to>
    <xdr:sp macro="[0]!Oval15_Click">
      <xdr:nvSpPr>
        <xdr:cNvPr id="1" name="Oval 1">
          <a:hlinkClick r:id="rId1"/>
        </xdr:cNvPr>
        <xdr:cNvSpPr>
          <a:spLocks/>
        </xdr:cNvSpPr>
      </xdr:nvSpPr>
      <xdr:spPr>
        <a:xfrm>
          <a:off x="180975" y="390525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133350</xdr:rowOff>
    </xdr:from>
    <xdr:to>
      <xdr:col>2</xdr:col>
      <xdr:colOff>57150</xdr:colOff>
      <xdr:row>3</xdr:row>
      <xdr:rowOff>123825</xdr:rowOff>
    </xdr:to>
    <xdr:sp macro="[0]!Oval15_Click">
      <xdr:nvSpPr>
        <xdr:cNvPr id="1" name="Oval 1">
          <a:hlinkClick r:id="rId1"/>
        </xdr:cNvPr>
        <xdr:cNvSpPr>
          <a:spLocks/>
        </xdr:cNvSpPr>
      </xdr:nvSpPr>
      <xdr:spPr>
        <a:xfrm>
          <a:off x="180975" y="390525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571500</xdr:colOff>
      <xdr:row>3</xdr:row>
      <xdr:rowOff>38100</xdr:rowOff>
    </xdr:to>
    <xdr:sp macro="[0]!Oval15_Click">
      <xdr:nvSpPr>
        <xdr:cNvPr id="1" name="Oval 4">
          <a:hlinkClick r:id="rId1"/>
        </xdr:cNvPr>
        <xdr:cNvSpPr>
          <a:spLocks/>
        </xdr:cNvSpPr>
      </xdr:nvSpPr>
      <xdr:spPr>
        <a:xfrm>
          <a:off x="85725" y="104775"/>
          <a:ext cx="1095375" cy="5619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  <xdr:twoCellAnchor>
    <xdr:from>
      <xdr:col>0</xdr:col>
      <xdr:colOff>85725</xdr:colOff>
      <xdr:row>34</xdr:row>
      <xdr:rowOff>152400</xdr:rowOff>
    </xdr:from>
    <xdr:to>
      <xdr:col>1</xdr:col>
      <xdr:colOff>571500</xdr:colOff>
      <xdr:row>36</xdr:row>
      <xdr:rowOff>152400</xdr:rowOff>
    </xdr:to>
    <xdr:sp macro="[0]!Oval15_Click">
      <xdr:nvSpPr>
        <xdr:cNvPr id="2" name="Oval 5">
          <a:hlinkClick r:id="rId2"/>
        </xdr:cNvPr>
        <xdr:cNvSpPr>
          <a:spLocks/>
        </xdr:cNvSpPr>
      </xdr:nvSpPr>
      <xdr:spPr>
        <a:xfrm>
          <a:off x="85725" y="8572500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66675</xdr:rowOff>
    </xdr:from>
    <xdr:to>
      <xdr:col>1</xdr:col>
      <xdr:colOff>666750</xdr:colOff>
      <xdr:row>4</xdr:row>
      <xdr:rowOff>76200</xdr:rowOff>
    </xdr:to>
    <xdr:sp macro="[0]!Oval15_Click">
      <xdr:nvSpPr>
        <xdr:cNvPr id="1" name="Oval 2">
          <a:hlinkClick r:id="rId1"/>
        </xdr:cNvPr>
        <xdr:cNvSpPr>
          <a:spLocks/>
        </xdr:cNvSpPr>
      </xdr:nvSpPr>
      <xdr:spPr>
        <a:xfrm>
          <a:off x="180975" y="228600"/>
          <a:ext cx="1095375" cy="4953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  <xdr:twoCellAnchor>
    <xdr:from>
      <xdr:col>0</xdr:col>
      <xdr:colOff>180975</xdr:colOff>
      <xdr:row>43</xdr:row>
      <xdr:rowOff>66675</xdr:rowOff>
    </xdr:from>
    <xdr:to>
      <xdr:col>1</xdr:col>
      <xdr:colOff>666750</xdr:colOff>
      <xdr:row>46</xdr:row>
      <xdr:rowOff>85725</xdr:rowOff>
    </xdr:to>
    <xdr:sp macro="[0]!Oval15_Click">
      <xdr:nvSpPr>
        <xdr:cNvPr id="2" name="Oval 3">
          <a:hlinkClick r:id="rId2"/>
        </xdr:cNvPr>
        <xdr:cNvSpPr>
          <a:spLocks/>
        </xdr:cNvSpPr>
      </xdr:nvSpPr>
      <xdr:spPr>
        <a:xfrm>
          <a:off x="180975" y="7467600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114300</xdr:rowOff>
    </xdr:from>
    <xdr:to>
      <xdr:col>1</xdr:col>
      <xdr:colOff>561975</xdr:colOff>
      <xdr:row>3</xdr:row>
      <xdr:rowOff>190500</xdr:rowOff>
    </xdr:to>
    <xdr:sp macro="[0]!Oval15_Click">
      <xdr:nvSpPr>
        <xdr:cNvPr id="1" name="Oval 1">
          <a:hlinkClick r:id="rId1"/>
        </xdr:cNvPr>
        <xdr:cNvSpPr>
          <a:spLocks/>
        </xdr:cNvSpPr>
      </xdr:nvSpPr>
      <xdr:spPr>
        <a:xfrm>
          <a:off x="76200" y="285750"/>
          <a:ext cx="1466850" cy="5334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  <xdr:twoCellAnchor>
    <xdr:from>
      <xdr:col>0</xdr:col>
      <xdr:colOff>66675</xdr:colOff>
      <xdr:row>29</xdr:row>
      <xdr:rowOff>257175</xdr:rowOff>
    </xdr:from>
    <xdr:to>
      <xdr:col>1</xdr:col>
      <xdr:colOff>552450</xdr:colOff>
      <xdr:row>31</xdr:row>
      <xdr:rowOff>228600</xdr:rowOff>
    </xdr:to>
    <xdr:sp macro="[0]!Oval15_Click">
      <xdr:nvSpPr>
        <xdr:cNvPr id="2" name="Oval 2">
          <a:hlinkClick r:id="rId2"/>
        </xdr:cNvPr>
        <xdr:cNvSpPr>
          <a:spLocks/>
        </xdr:cNvSpPr>
      </xdr:nvSpPr>
      <xdr:spPr>
        <a:xfrm>
          <a:off x="66675" y="7791450"/>
          <a:ext cx="1466850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2</xdr:col>
      <xdr:colOff>57150</xdr:colOff>
      <xdr:row>3</xdr:row>
      <xdr:rowOff>85725</xdr:rowOff>
    </xdr:to>
    <xdr:sp macro="[0]!Oval15_Click">
      <xdr:nvSpPr>
        <xdr:cNvPr id="1" name="Oval 1">
          <a:hlinkClick r:id="rId1"/>
        </xdr:cNvPr>
        <xdr:cNvSpPr>
          <a:spLocks/>
        </xdr:cNvSpPr>
      </xdr:nvSpPr>
      <xdr:spPr>
        <a:xfrm>
          <a:off x="180975" y="66675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142875</xdr:rowOff>
    </xdr:from>
    <xdr:to>
      <xdr:col>2</xdr:col>
      <xdr:colOff>381000</xdr:colOff>
      <xdr:row>3</xdr:row>
      <xdr:rowOff>171450</xdr:rowOff>
    </xdr:to>
    <xdr:sp macro="[0]!Oval15_Click">
      <xdr:nvSpPr>
        <xdr:cNvPr id="1" name="Oval 6">
          <a:hlinkClick r:id="rId1"/>
        </xdr:cNvPr>
        <xdr:cNvSpPr>
          <a:spLocks/>
        </xdr:cNvSpPr>
      </xdr:nvSpPr>
      <xdr:spPr>
        <a:xfrm>
          <a:off x="1104900" y="295275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  <xdr:twoCellAnchor>
    <xdr:from>
      <xdr:col>0</xdr:col>
      <xdr:colOff>0</xdr:colOff>
      <xdr:row>92</xdr:row>
      <xdr:rowOff>133350</xdr:rowOff>
    </xdr:from>
    <xdr:to>
      <xdr:col>1</xdr:col>
      <xdr:colOff>228600</xdr:colOff>
      <xdr:row>94</xdr:row>
      <xdr:rowOff>133350</xdr:rowOff>
    </xdr:to>
    <xdr:sp macro="[0]!Oval15_Click">
      <xdr:nvSpPr>
        <xdr:cNvPr id="2" name="Oval 7">
          <a:hlinkClick r:id="rId2"/>
        </xdr:cNvPr>
        <xdr:cNvSpPr>
          <a:spLocks/>
        </xdr:cNvSpPr>
      </xdr:nvSpPr>
      <xdr:spPr>
        <a:xfrm>
          <a:off x="0" y="23517225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  <xdr:twoCellAnchor>
    <xdr:from>
      <xdr:col>1</xdr:col>
      <xdr:colOff>476250</xdr:colOff>
      <xdr:row>49</xdr:row>
      <xdr:rowOff>152400</xdr:rowOff>
    </xdr:from>
    <xdr:to>
      <xdr:col>2</xdr:col>
      <xdr:colOff>619125</xdr:colOff>
      <xdr:row>51</xdr:row>
      <xdr:rowOff>152400</xdr:rowOff>
    </xdr:to>
    <xdr:sp macro="[0]!Oval15_Click">
      <xdr:nvSpPr>
        <xdr:cNvPr id="3" name="Oval 8">
          <a:hlinkClick r:id="rId3"/>
        </xdr:cNvPr>
        <xdr:cNvSpPr>
          <a:spLocks/>
        </xdr:cNvSpPr>
      </xdr:nvSpPr>
      <xdr:spPr>
        <a:xfrm>
          <a:off x="1343025" y="12353925"/>
          <a:ext cx="1095375" cy="5524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2</xdr:col>
      <xdr:colOff>123825</xdr:colOff>
      <xdr:row>3</xdr:row>
      <xdr:rowOff>85725</xdr:rowOff>
    </xdr:to>
    <xdr:sp macro="[0]!Oval15_Click">
      <xdr:nvSpPr>
        <xdr:cNvPr id="1" name="Oval 4">
          <a:hlinkClick r:id="rId1"/>
        </xdr:cNvPr>
        <xdr:cNvSpPr>
          <a:spLocks/>
        </xdr:cNvSpPr>
      </xdr:nvSpPr>
      <xdr:spPr>
        <a:xfrm>
          <a:off x="609600" y="66675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76200</xdr:rowOff>
    </xdr:from>
    <xdr:to>
      <xdr:col>2</xdr:col>
      <xdr:colOff>428625</xdr:colOff>
      <xdr:row>2</xdr:row>
      <xdr:rowOff>85725</xdr:rowOff>
    </xdr:to>
    <xdr:sp macro="[0]!Oval15_Click">
      <xdr:nvSpPr>
        <xdr:cNvPr id="1" name="Oval 6">
          <a:hlinkClick r:id="rId1"/>
        </xdr:cNvPr>
        <xdr:cNvSpPr>
          <a:spLocks/>
        </xdr:cNvSpPr>
      </xdr:nvSpPr>
      <xdr:spPr>
        <a:xfrm>
          <a:off x="552450" y="76200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95250</xdr:rowOff>
    </xdr:from>
    <xdr:to>
      <xdr:col>2</xdr:col>
      <xdr:colOff>200025</xdr:colOff>
      <xdr:row>3</xdr:row>
      <xdr:rowOff>66675</xdr:rowOff>
    </xdr:to>
    <xdr:sp macro="[0]!Oval15_Click">
      <xdr:nvSpPr>
        <xdr:cNvPr id="1" name="Oval 2">
          <a:hlinkClick r:id="rId1"/>
        </xdr:cNvPr>
        <xdr:cNvSpPr>
          <a:spLocks/>
        </xdr:cNvSpPr>
      </xdr:nvSpPr>
      <xdr:spPr>
        <a:xfrm>
          <a:off x="180975" y="266700"/>
          <a:ext cx="1009650" cy="3524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104775</xdr:rowOff>
    </xdr:from>
    <xdr:to>
      <xdr:col>2</xdr:col>
      <xdr:colOff>323850</xdr:colOff>
      <xdr:row>5</xdr:row>
      <xdr:rowOff>85725</xdr:rowOff>
    </xdr:to>
    <xdr:sp macro="[0]!Oval15_Click">
      <xdr:nvSpPr>
        <xdr:cNvPr id="1" name="Oval 4">
          <a:hlinkClick r:id="rId1"/>
        </xdr:cNvPr>
        <xdr:cNvSpPr>
          <a:spLocks/>
        </xdr:cNvSpPr>
      </xdr:nvSpPr>
      <xdr:spPr>
        <a:xfrm>
          <a:off x="704850" y="600075"/>
          <a:ext cx="96202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171450</xdr:rowOff>
    </xdr:from>
    <xdr:to>
      <xdr:col>1</xdr:col>
      <xdr:colOff>533400</xdr:colOff>
      <xdr:row>2</xdr:row>
      <xdr:rowOff>180975</xdr:rowOff>
    </xdr:to>
    <xdr:sp macro="[0]!Oval15_Click">
      <xdr:nvSpPr>
        <xdr:cNvPr id="1" name="Oval 2">
          <a:hlinkClick r:id="rId1"/>
        </xdr:cNvPr>
        <xdr:cNvSpPr>
          <a:spLocks/>
        </xdr:cNvSpPr>
      </xdr:nvSpPr>
      <xdr:spPr>
        <a:xfrm>
          <a:off x="47625" y="171450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6</xdr:row>
      <xdr:rowOff>228600</xdr:rowOff>
    </xdr:from>
    <xdr:to>
      <xdr:col>3</xdr:col>
      <xdr:colOff>161925</xdr:colOff>
      <xdr:row>8</xdr:row>
      <xdr:rowOff>200025</xdr:rowOff>
    </xdr:to>
    <xdr:sp macro="[0]!Oval15_Click">
      <xdr:nvSpPr>
        <xdr:cNvPr id="1" name="Oval 1">
          <a:hlinkClick r:id="rId1"/>
        </xdr:cNvPr>
        <xdr:cNvSpPr>
          <a:spLocks/>
        </xdr:cNvSpPr>
      </xdr:nvSpPr>
      <xdr:spPr>
        <a:xfrm>
          <a:off x="914400" y="1895475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  <xdr:twoCellAnchor>
    <xdr:from>
      <xdr:col>1</xdr:col>
      <xdr:colOff>219075</xdr:colOff>
      <xdr:row>25</xdr:row>
      <xdr:rowOff>114300</xdr:rowOff>
    </xdr:from>
    <xdr:to>
      <xdr:col>3</xdr:col>
      <xdr:colOff>76200</xdr:colOff>
      <xdr:row>27</xdr:row>
      <xdr:rowOff>66675</xdr:rowOff>
    </xdr:to>
    <xdr:sp macro="[0]!Oval15_Click">
      <xdr:nvSpPr>
        <xdr:cNvPr id="2" name="Oval 2">
          <a:hlinkClick r:id="rId2"/>
        </xdr:cNvPr>
        <xdr:cNvSpPr>
          <a:spLocks/>
        </xdr:cNvSpPr>
      </xdr:nvSpPr>
      <xdr:spPr>
        <a:xfrm>
          <a:off x="828675" y="6943725"/>
          <a:ext cx="1095375" cy="4762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</xdr:row>
      <xdr:rowOff>104775</xdr:rowOff>
    </xdr:from>
    <xdr:to>
      <xdr:col>6</xdr:col>
      <xdr:colOff>219075</xdr:colOff>
      <xdr:row>3</xdr:row>
      <xdr:rowOff>38100</xdr:rowOff>
    </xdr:to>
    <xdr:sp macro="[0]!Oval15_Click">
      <xdr:nvSpPr>
        <xdr:cNvPr id="1" name="Oval 1">
          <a:hlinkClick r:id="rId1"/>
        </xdr:cNvPr>
        <xdr:cNvSpPr>
          <a:spLocks/>
        </xdr:cNvSpPr>
      </xdr:nvSpPr>
      <xdr:spPr>
        <a:xfrm>
          <a:off x="3762375" y="390525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بازگشت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3" zoomScaleNormal="63" zoomScalePageLayoutView="0" workbookViewId="0" topLeftCell="A1">
      <selection activeCell="A1" sqref="A1"/>
    </sheetView>
  </sheetViews>
  <sheetFormatPr defaultColWidth="9.140625" defaultRowHeight="12.75"/>
  <cols>
    <col min="1" max="9" width="9.140625" style="1" customWidth="1"/>
    <col min="10" max="10" width="15.00390625" style="1" customWidth="1"/>
    <col min="11" max="16384" width="9.140625" style="1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2" ht="23.2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E2:G17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4" width="9.140625" style="1" customWidth="1"/>
    <col min="5" max="5" width="16.140625" style="1" customWidth="1"/>
    <col min="6" max="6" width="15.57421875" style="1" customWidth="1"/>
    <col min="7" max="7" width="32.57421875" style="1" customWidth="1"/>
    <col min="8" max="16384" width="9.140625" style="1" customWidth="1"/>
  </cols>
  <sheetData>
    <row r="1" ht="19.5" customHeight="1" thickBot="1"/>
    <row r="2" spans="5:7" ht="19.5" customHeight="1" thickBot="1">
      <c r="E2" s="170" t="s">
        <v>288</v>
      </c>
      <c r="F2" s="169"/>
      <c r="G2" s="171"/>
    </row>
    <row r="3" spans="5:7" ht="19.5" customHeight="1" thickBot="1">
      <c r="E3" s="158" t="s">
        <v>154</v>
      </c>
      <c r="F3" s="159"/>
      <c r="G3" s="160"/>
    </row>
    <row r="4" spans="5:7" ht="19.5" customHeight="1" thickBot="1">
      <c r="E4" s="170" t="s">
        <v>132</v>
      </c>
      <c r="F4" s="169"/>
      <c r="G4" s="171"/>
    </row>
    <row r="5" spans="5:7" ht="19.5" customHeight="1" thickBot="1">
      <c r="E5" s="42" t="s">
        <v>151</v>
      </c>
      <c r="F5" s="42" t="s">
        <v>151</v>
      </c>
      <c r="G5" s="58"/>
    </row>
    <row r="6" spans="5:7" ht="19.5" customHeight="1" thickBot="1">
      <c r="E6" s="31">
        <f>'بودجه فروش'!B11+'بودجه فروش'!B12</f>
        <v>846000000</v>
      </c>
      <c r="F6" s="31"/>
      <c r="G6" s="58" t="s">
        <v>145</v>
      </c>
    </row>
    <row r="7" spans="5:7" ht="19.5" customHeight="1" thickBot="1">
      <c r="E7" s="131">
        <f>'بودجه بهاي تمام شده كالاي فروش '!C25</f>
        <v>110425317.83369803</v>
      </c>
      <c r="F7" s="131"/>
      <c r="G7" s="99" t="s">
        <v>146</v>
      </c>
    </row>
    <row r="8" spans="5:7" ht="19.5" customHeight="1" thickBot="1">
      <c r="E8" s="31">
        <f>E6-E7</f>
        <v>735574682.166302</v>
      </c>
      <c r="F8" s="31"/>
      <c r="G8" s="58" t="s">
        <v>147</v>
      </c>
    </row>
    <row r="9" spans="5:7" ht="19.5" customHeight="1" thickBot="1">
      <c r="E9" s="31"/>
      <c r="F9" s="31"/>
      <c r="G9" s="99" t="s">
        <v>275</v>
      </c>
    </row>
    <row r="10" spans="5:7" ht="19.5" customHeight="1" thickBot="1">
      <c r="E10" s="31"/>
      <c r="F10" s="31">
        <f>'بودجه هزينه هاي اداري و فروش'!B15</f>
        <v>14969000</v>
      </c>
      <c r="G10" s="58" t="s">
        <v>148</v>
      </c>
    </row>
    <row r="11" spans="5:7" ht="19.5" customHeight="1" thickBot="1">
      <c r="E11" s="31"/>
      <c r="F11" s="31">
        <f>'بودجه هزينه هاي اداري و فروش'!H15</f>
        <v>48868756.89277899</v>
      </c>
      <c r="G11" s="58" t="s">
        <v>149</v>
      </c>
    </row>
    <row r="12" spans="5:7" ht="19.5" customHeight="1" thickBot="1">
      <c r="E12" s="131">
        <f>F10+F11</f>
        <v>63837756.89277899</v>
      </c>
      <c r="F12" s="131"/>
      <c r="G12" s="99" t="s">
        <v>152</v>
      </c>
    </row>
    <row r="13" spans="5:7" ht="19.5" customHeight="1" thickBot="1">
      <c r="E13" s="31">
        <f>E8-E12</f>
        <v>671736925.273523</v>
      </c>
      <c r="F13" s="31"/>
      <c r="G13" s="58" t="s">
        <v>273</v>
      </c>
    </row>
    <row r="14" spans="5:7" ht="19.5" customHeight="1" thickBot="1">
      <c r="E14" s="131">
        <f>('داده ها'!C12+'داده ها'!B19)*6%</f>
        <v>600000</v>
      </c>
      <c r="F14" s="131"/>
      <c r="G14" s="99" t="s">
        <v>150</v>
      </c>
    </row>
    <row r="15" spans="5:7" ht="19.5" customHeight="1" thickBot="1">
      <c r="E15" s="31">
        <f>E13-E14</f>
        <v>671136925.273523</v>
      </c>
      <c r="F15" s="31"/>
      <c r="G15" s="58" t="s">
        <v>239</v>
      </c>
    </row>
    <row r="16" spans="5:7" ht="19.5" customHeight="1" thickBot="1">
      <c r="E16" s="131">
        <f>E15*50%</f>
        <v>335568462.6367615</v>
      </c>
      <c r="F16" s="131"/>
      <c r="G16" s="99" t="s">
        <v>238</v>
      </c>
    </row>
    <row r="17" spans="5:7" ht="19.5" customHeight="1" thickBot="1">
      <c r="E17" s="64">
        <f>E15-E16</f>
        <v>335568462.6367615</v>
      </c>
      <c r="F17" s="31"/>
      <c r="G17" s="58" t="s">
        <v>240</v>
      </c>
    </row>
    <row r="18" ht="19.5" customHeight="1" thickTop="1"/>
  </sheetData>
  <sheetProtection/>
  <mergeCells count="3">
    <mergeCell ref="E3:G3"/>
    <mergeCell ref="E4:G4"/>
    <mergeCell ref="E2:G2"/>
  </mergeCells>
  <printOptions/>
  <pageMargins left="0.75" right="0.75" top="1" bottom="1" header="0.5" footer="0.5"/>
  <pageSetup orientation="portrait" paperSize="9"/>
  <ignoredErrors>
    <ignoredError sqref="E16" formula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D2:G14"/>
  <sheetViews>
    <sheetView zoomScalePageLayoutView="0" workbookViewId="0" topLeftCell="A1">
      <selection activeCell="A1" sqref="A1"/>
    </sheetView>
  </sheetViews>
  <sheetFormatPr defaultColWidth="9.140625" defaultRowHeight="20.25" customHeight="1"/>
  <cols>
    <col min="1" max="3" width="9.140625" style="1" customWidth="1"/>
    <col min="4" max="4" width="12.140625" style="1" customWidth="1"/>
    <col min="5" max="5" width="11.57421875" style="1" bestFit="1" customWidth="1"/>
    <col min="6" max="6" width="12.8515625" style="1" customWidth="1"/>
    <col min="7" max="7" width="27.57421875" style="1" customWidth="1"/>
    <col min="8" max="16384" width="9.140625" style="1" customWidth="1"/>
  </cols>
  <sheetData>
    <row r="1" ht="20.25" customHeight="1" thickBot="1"/>
    <row r="2" spans="4:7" ht="20.25" customHeight="1">
      <c r="D2" s="253" t="s">
        <v>289</v>
      </c>
      <c r="E2" s="254"/>
      <c r="F2" s="254"/>
      <c r="G2" s="255"/>
    </row>
    <row r="3" spans="4:7" ht="20.25" customHeight="1">
      <c r="D3" s="256" t="s">
        <v>216</v>
      </c>
      <c r="E3" s="257"/>
      <c r="F3" s="257"/>
      <c r="G3" s="258"/>
    </row>
    <row r="4" spans="4:7" ht="20.25" customHeight="1" thickBot="1">
      <c r="D4" s="259" t="s">
        <v>132</v>
      </c>
      <c r="E4" s="260"/>
      <c r="F4" s="260"/>
      <c r="G4" s="261"/>
    </row>
    <row r="5" spans="4:7" ht="20.25" customHeight="1" thickBot="1">
      <c r="D5" s="251" t="s">
        <v>157</v>
      </c>
      <c r="E5" s="137" t="s">
        <v>8</v>
      </c>
      <c r="F5" s="138"/>
      <c r="G5" s="139" t="s">
        <v>155</v>
      </c>
    </row>
    <row r="6" spans="4:7" ht="20.25" customHeight="1" thickBot="1">
      <c r="D6" s="252"/>
      <c r="E6" s="42" t="s">
        <v>10</v>
      </c>
      <c r="F6" s="49" t="s">
        <v>156</v>
      </c>
      <c r="G6" s="140"/>
    </row>
    <row r="7" spans="4:7" ht="20.25" customHeight="1" thickBot="1">
      <c r="D7" s="16">
        <f>E7+F7</f>
        <v>34000000</v>
      </c>
      <c r="E7" s="16">
        <f>'داده ها'!B107</f>
        <v>0</v>
      </c>
      <c r="F7" s="16">
        <f>'داده ها'!C107</f>
        <v>34000000</v>
      </c>
      <c r="G7" s="71" t="s">
        <v>158</v>
      </c>
    </row>
    <row r="8" spans="4:7" ht="20.25" customHeight="1" thickBot="1">
      <c r="D8" s="16">
        <f>E8+F8</f>
        <v>77000000</v>
      </c>
      <c r="E8" s="16">
        <f>'داده ها'!B108</f>
        <v>0</v>
      </c>
      <c r="F8" s="16">
        <f>'داده ها'!C108</f>
        <v>77000000</v>
      </c>
      <c r="G8" s="71" t="s">
        <v>159</v>
      </c>
    </row>
    <row r="9" spans="4:7" ht="20.25" customHeight="1" thickBot="1">
      <c r="D9" s="16">
        <f>E9+F9</f>
        <v>120000000</v>
      </c>
      <c r="E9" s="16">
        <f>'داده ها'!B109</f>
        <v>60000000</v>
      </c>
      <c r="F9" s="16">
        <f>'داده ها'!C109</f>
        <v>60000000</v>
      </c>
      <c r="G9" s="71" t="s">
        <v>160</v>
      </c>
    </row>
    <row r="10" spans="4:7" ht="20.25" customHeight="1" thickBot="1">
      <c r="D10" s="16">
        <f>E10+F10</f>
        <v>44000000</v>
      </c>
      <c r="E10" s="16">
        <f>'داده ها'!B110</f>
        <v>22000000</v>
      </c>
      <c r="F10" s="16">
        <f>'داده ها'!C110</f>
        <v>22000000</v>
      </c>
      <c r="G10" s="72" t="s">
        <v>161</v>
      </c>
    </row>
    <row r="11" spans="4:7" ht="20.25" customHeight="1" thickBot="1">
      <c r="D11" s="64">
        <f>E11+F11</f>
        <v>275000000</v>
      </c>
      <c r="E11" s="16">
        <f>'داده ها'!B111</f>
        <v>82000000</v>
      </c>
      <c r="F11" s="16">
        <f>'داده ها'!C111</f>
        <v>193000000</v>
      </c>
      <c r="G11" s="57" t="s">
        <v>162</v>
      </c>
    </row>
    <row r="12" ht="20.25" customHeight="1" thickTop="1"/>
    <row r="14" ht="20.25" customHeight="1">
      <c r="G14" s="28"/>
    </row>
  </sheetData>
  <sheetProtection/>
  <mergeCells count="6">
    <mergeCell ref="G5:G6"/>
    <mergeCell ref="D5:D6"/>
    <mergeCell ref="D2:G2"/>
    <mergeCell ref="D3:G3"/>
    <mergeCell ref="D4:G4"/>
    <mergeCell ref="E5:F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2" width="9.140625" style="1" customWidth="1"/>
    <col min="3" max="3" width="14.140625" style="1" customWidth="1"/>
    <col min="4" max="4" width="14.421875" style="1" customWidth="1"/>
    <col min="5" max="5" width="13.8515625" style="1" customWidth="1"/>
    <col min="6" max="6" width="29.28125" style="1" customWidth="1"/>
    <col min="7" max="16384" width="9.140625" style="1" customWidth="1"/>
  </cols>
  <sheetData>
    <row r="1" ht="13.5" thickBot="1"/>
    <row r="2" spans="3:6" ht="18">
      <c r="C2" s="152" t="s">
        <v>290</v>
      </c>
      <c r="D2" s="157"/>
      <c r="E2" s="157"/>
      <c r="F2" s="153"/>
    </row>
    <row r="3" spans="3:6" ht="18">
      <c r="C3" s="225" t="s">
        <v>215</v>
      </c>
      <c r="D3" s="226"/>
      <c r="E3" s="226"/>
      <c r="F3" s="227"/>
    </row>
    <row r="4" spans="3:6" ht="18.75" thickBot="1">
      <c r="C4" s="158" t="s">
        <v>132</v>
      </c>
      <c r="D4" s="159"/>
      <c r="E4" s="159"/>
      <c r="F4" s="160"/>
    </row>
    <row r="5" spans="3:6" ht="21" thickBot="1">
      <c r="C5" s="251" t="s">
        <v>157</v>
      </c>
      <c r="D5" s="137" t="s">
        <v>8</v>
      </c>
      <c r="E5" s="138"/>
      <c r="F5" s="139" t="s">
        <v>206</v>
      </c>
    </row>
    <row r="6" spans="3:6" ht="21" thickBot="1">
      <c r="C6" s="252"/>
      <c r="D6" s="42" t="s">
        <v>10</v>
      </c>
      <c r="E6" s="49" t="s">
        <v>156</v>
      </c>
      <c r="F6" s="140"/>
    </row>
    <row r="7" spans="2:6" ht="20.25">
      <c r="B7" s="27"/>
      <c r="C7" s="29">
        <f>E7</f>
        <v>117000000</v>
      </c>
      <c r="D7" s="29">
        <f>E15</f>
        <v>174000000</v>
      </c>
      <c r="E7" s="30">
        <f>'داده ها'!H10</f>
        <v>117000000</v>
      </c>
      <c r="F7" s="73" t="s">
        <v>207</v>
      </c>
    </row>
    <row r="8" spans="2:6" ht="21" thickBot="1">
      <c r="B8" s="27"/>
      <c r="C8" s="31">
        <f>D8+E8</f>
        <v>846000000</v>
      </c>
      <c r="D8" s="31">
        <f>'بودجه فروش'!B12</f>
        <v>376000000</v>
      </c>
      <c r="E8" s="32">
        <f>'بودجه فروش'!B11</f>
        <v>470000000</v>
      </c>
      <c r="F8" s="71" t="s">
        <v>208</v>
      </c>
    </row>
    <row r="9" spans="2:6" ht="21" thickBot="1">
      <c r="B9" s="27"/>
      <c r="C9" s="16">
        <f>C8+C7</f>
        <v>963000000</v>
      </c>
      <c r="D9" s="16">
        <f>D7+D8</f>
        <v>550000000</v>
      </c>
      <c r="E9" s="33">
        <f>E7+E8</f>
        <v>587000000</v>
      </c>
      <c r="F9" s="71" t="s">
        <v>79</v>
      </c>
    </row>
    <row r="10" spans="2:6" ht="20.25">
      <c r="B10" s="27"/>
      <c r="C10" s="34"/>
      <c r="D10" s="34"/>
      <c r="E10" s="35"/>
      <c r="F10" s="71" t="s">
        <v>209</v>
      </c>
    </row>
    <row r="11" spans="2:6" ht="19.5">
      <c r="B11" s="27"/>
      <c r="C11" s="34">
        <f>C8*'داده ها'!C99</f>
        <v>592200000</v>
      </c>
      <c r="D11" s="34">
        <f>D8*'داده ها'!C99</f>
        <v>263199999.99999997</v>
      </c>
      <c r="E11" s="35">
        <f>E8*'داده ها'!C99</f>
        <v>329000000</v>
      </c>
      <c r="F11" s="65" t="s">
        <v>210</v>
      </c>
    </row>
    <row r="12" spans="2:6" ht="19.5">
      <c r="B12" s="27"/>
      <c r="C12" s="34">
        <f>D12+E12</f>
        <v>160000000</v>
      </c>
      <c r="D12" s="34">
        <f>E8*'داده ها'!C100</f>
        <v>94000000</v>
      </c>
      <c r="E12" s="35">
        <f>'داده ها'!B97*'داده ها'!C100</f>
        <v>66000000</v>
      </c>
      <c r="F12" s="65" t="s">
        <v>211</v>
      </c>
    </row>
    <row r="13" spans="2:6" ht="20.25" thickBot="1">
      <c r="B13" s="27"/>
      <c r="C13" s="31">
        <f>D13+E13</f>
        <v>51000000</v>
      </c>
      <c r="D13" s="31">
        <f>'داده ها'!B97*'داده ها'!C101</f>
        <v>33000000</v>
      </c>
      <c r="E13" s="32">
        <f>'داده ها'!C97*'داده ها'!C101</f>
        <v>18000000</v>
      </c>
      <c r="F13" s="65" t="s">
        <v>212</v>
      </c>
    </row>
    <row r="14" spans="2:6" ht="20.25" thickBot="1">
      <c r="B14" s="27"/>
      <c r="C14" s="126">
        <f>D14+E14</f>
        <v>803200000</v>
      </c>
      <c r="D14" s="126">
        <f>D13+D12+D11</f>
        <v>390200000</v>
      </c>
      <c r="E14" s="98">
        <f>E11+E12+E13</f>
        <v>413000000</v>
      </c>
      <c r="F14" s="127" t="s">
        <v>213</v>
      </c>
    </row>
    <row r="15" spans="2:6" ht="20.25" thickBot="1">
      <c r="B15" s="27"/>
      <c r="C15" s="64">
        <f>C9-C14</f>
        <v>159800000</v>
      </c>
      <c r="D15" s="64">
        <f>D9-D14</f>
        <v>159800000</v>
      </c>
      <c r="E15" s="36">
        <f>E9-E14</f>
        <v>174000000</v>
      </c>
      <c r="F15" s="69" t="s">
        <v>214</v>
      </c>
    </row>
    <row r="16" ht="14.25" thickBot="1" thickTop="1"/>
    <row r="17" spans="3:6" ht="18">
      <c r="C17" s="152" t="s">
        <v>291</v>
      </c>
      <c r="D17" s="157"/>
      <c r="E17" s="157"/>
      <c r="F17" s="153"/>
    </row>
    <row r="18" spans="3:6" ht="18">
      <c r="C18" s="225" t="s">
        <v>217</v>
      </c>
      <c r="D18" s="226"/>
      <c r="E18" s="226"/>
      <c r="F18" s="227"/>
    </row>
    <row r="19" spans="3:6" ht="18.75" thickBot="1">
      <c r="C19" s="158" t="s">
        <v>132</v>
      </c>
      <c r="D19" s="159"/>
      <c r="E19" s="159"/>
      <c r="F19" s="160"/>
    </row>
    <row r="20" spans="3:6" ht="21" thickBot="1">
      <c r="C20" s="251" t="s">
        <v>157</v>
      </c>
      <c r="D20" s="137" t="s">
        <v>8</v>
      </c>
      <c r="E20" s="138"/>
      <c r="F20" s="139" t="s">
        <v>206</v>
      </c>
    </row>
    <row r="21" spans="2:6" ht="21" thickBot="1">
      <c r="B21" s="27"/>
      <c r="C21" s="140"/>
      <c r="D21" s="42" t="s">
        <v>10</v>
      </c>
      <c r="E21" s="49" t="s">
        <v>156</v>
      </c>
      <c r="F21" s="140"/>
    </row>
    <row r="22" spans="2:6" ht="20.25">
      <c r="B22" s="27"/>
      <c r="C22" s="29">
        <f>E22</f>
        <v>35200000</v>
      </c>
      <c r="D22" s="30">
        <f>E37</f>
        <v>211929351.5536105</v>
      </c>
      <c r="E22" s="30">
        <f>'داده ها'!G8</f>
        <v>35200000</v>
      </c>
      <c r="F22" s="73" t="s">
        <v>218</v>
      </c>
    </row>
    <row r="23" spans="2:6" ht="21" thickBot="1">
      <c r="B23" s="27"/>
      <c r="C23" s="31">
        <f>D23+E23</f>
        <v>803200000</v>
      </c>
      <c r="D23" s="32">
        <f>D14</f>
        <v>390200000</v>
      </c>
      <c r="E23" s="32">
        <f>E14</f>
        <v>413000000</v>
      </c>
      <c r="F23" s="71" t="s">
        <v>219</v>
      </c>
    </row>
    <row r="24" spans="2:6" ht="21" thickBot="1">
      <c r="B24" s="27"/>
      <c r="C24" s="16">
        <f>C22+C23</f>
        <v>838400000</v>
      </c>
      <c r="D24" s="33">
        <f>D23+D22</f>
        <v>602129351.5536106</v>
      </c>
      <c r="E24" s="33">
        <f>E23+E22</f>
        <v>448200000</v>
      </c>
      <c r="F24" s="71" t="s">
        <v>220</v>
      </c>
    </row>
    <row r="25" spans="2:6" ht="20.25">
      <c r="B25" s="27"/>
      <c r="C25" s="34"/>
      <c r="D25" s="35"/>
      <c r="E25" s="35"/>
      <c r="F25" s="128" t="s">
        <v>274</v>
      </c>
    </row>
    <row r="26" spans="2:6" ht="19.5">
      <c r="B26" s="27"/>
      <c r="C26" s="34">
        <f>D26+E26</f>
        <v>11277000</v>
      </c>
      <c r="D26" s="35">
        <f>'بودجه مواد مستقيم'!G21+'بودجه مواد مستقيم'!F21+'بودجه مواد مستقيم'!E21</f>
        <v>4932280</v>
      </c>
      <c r="E26" s="35">
        <f>'بودجه مواد مستقيم'!J21+'بودجه مواد مستقيم'!I21+'بودجه مواد مستقيم'!H21</f>
        <v>6344720</v>
      </c>
      <c r="F26" s="65" t="s">
        <v>221</v>
      </c>
    </row>
    <row r="27" spans="2:6" ht="19.5">
      <c r="B27" s="27"/>
      <c r="C27" s="34">
        <f>D27+E27</f>
        <v>5849500</v>
      </c>
      <c r="D27" s="35">
        <f>'بودجه دستمزد مستقيم '!G13+'بودجه دستمزد مستقيم '!F13+'بودجه دستمزد مستقيم '!E13</f>
        <v>2824800</v>
      </c>
      <c r="E27" s="35">
        <f>'بودجه دستمزد مستقيم '!J13+'بودجه دستمزد مستقيم '!I13+'بودجه دستمزد مستقيم '!H13</f>
        <v>3024700</v>
      </c>
      <c r="F27" s="65" t="s">
        <v>222</v>
      </c>
    </row>
    <row r="28" spans="2:6" ht="19.5">
      <c r="B28" s="27"/>
      <c r="C28" s="34">
        <f>D28+E28</f>
        <v>18103750</v>
      </c>
      <c r="D28" s="35">
        <f>'بودجه سربار ساخت'!D21-'بودجه سربار ساخت'!D16</f>
        <v>8824400</v>
      </c>
      <c r="E28" s="35">
        <f>'بودجه سربار ساخت'!E21-'بودجه سربار ساخت'!E16</f>
        <v>9279350</v>
      </c>
      <c r="F28" s="65" t="s">
        <v>223</v>
      </c>
    </row>
    <row r="29" spans="2:6" ht="19.5">
      <c r="B29" s="27"/>
      <c r="C29" s="34">
        <f>D29+E29</f>
        <v>3375000</v>
      </c>
      <c r="D29" s="35">
        <f>('بودجه هزينه هاي اداري و فروش'!B15/2)-('بودجه هزينه هاي اداري و فروش'!B10/2)-('بودجه هزينه هاي اداري و فروش'!B11/2)</f>
        <v>1687500</v>
      </c>
      <c r="E29" s="35">
        <f>('بودجه هزينه هاي اداري و فروش'!B15/2)-('بودجه هزينه هاي اداري و فروش'!B11/2)-('بودجه هزينه هاي اداري و فروش'!B10/2)</f>
        <v>1687500</v>
      </c>
      <c r="F29" s="65" t="s">
        <v>224</v>
      </c>
    </row>
    <row r="30" spans="2:6" ht="20.25" thickBot="1">
      <c r="B30" s="27"/>
      <c r="C30" s="31">
        <f>D30+E30</f>
        <v>45868756.89277899</v>
      </c>
      <c r="D30" s="32">
        <f>('بودجه هزينه هاي اداري و فروش'!H15/2)-('بودجه هزينه هاي اداري و فروش'!H11/2)</f>
        <v>22934378.446389496</v>
      </c>
      <c r="E30" s="32">
        <f>('بودجه هزينه هاي اداري و فروش'!H15/2)-('بودجه هزينه هاي اداري و فروش'!H11/2)</f>
        <v>22934378.446389496</v>
      </c>
      <c r="F30" s="65" t="s">
        <v>225</v>
      </c>
    </row>
    <row r="31" spans="2:6" ht="20.25" thickBot="1">
      <c r="B31" s="27"/>
      <c r="C31" s="126">
        <f>SUM(C26:C30)</f>
        <v>84474006.892779</v>
      </c>
      <c r="D31" s="98">
        <f>SUM(D26:D30)</f>
        <v>41203358.4463895</v>
      </c>
      <c r="E31" s="98">
        <f>SUM(E26:E30)</f>
        <v>43270648.4463895</v>
      </c>
      <c r="F31" s="127" t="s">
        <v>227</v>
      </c>
    </row>
    <row r="32" spans="2:6" ht="19.5">
      <c r="B32" s="27"/>
      <c r="C32" s="34">
        <f>C24-C31</f>
        <v>753925993.107221</v>
      </c>
      <c r="D32" s="35">
        <f>D24-D31</f>
        <v>560925993.1072211</v>
      </c>
      <c r="E32" s="35">
        <f>E24-E31</f>
        <v>404929351.5536105</v>
      </c>
      <c r="F32" s="65" t="s">
        <v>228</v>
      </c>
    </row>
    <row r="33" spans="2:6" ht="19.5">
      <c r="B33" s="27"/>
      <c r="C33" s="129">
        <f>'بودجه مخارج سرمایه ای'!D11</f>
        <v>275000000</v>
      </c>
      <c r="D33" s="130">
        <f>'بودجه مخارج سرمایه ای'!E11</f>
        <v>82000000</v>
      </c>
      <c r="E33" s="130">
        <f>'بودجه مخارج سرمایه ای'!F7+'بودجه مخارج سرمایه ای'!F8+'بودجه مخارج سرمایه ای'!F9+'بودجه مخارج سرمایه ای'!F10</f>
        <v>193000000</v>
      </c>
      <c r="F33" s="127" t="s">
        <v>229</v>
      </c>
    </row>
    <row r="34" spans="2:6" ht="19.5">
      <c r="B34" s="27"/>
      <c r="C34" s="129">
        <f>D34</f>
        <v>1000000</v>
      </c>
      <c r="D34" s="130">
        <f>'داده ها'!C12</f>
        <v>1000000</v>
      </c>
      <c r="E34" s="130"/>
      <c r="F34" s="127" t="s">
        <v>226</v>
      </c>
    </row>
    <row r="35" spans="2:6" ht="19.5">
      <c r="B35" s="27"/>
      <c r="C35" s="129">
        <f>D35+E35</f>
        <v>600000</v>
      </c>
      <c r="D35" s="130">
        <v>600000</v>
      </c>
      <c r="E35" s="130"/>
      <c r="F35" s="127" t="s">
        <v>246</v>
      </c>
    </row>
    <row r="36" spans="2:6" ht="20.25" thickBot="1">
      <c r="B36" s="27"/>
      <c r="C36" s="129">
        <f>D36+E36</f>
        <v>300000000</v>
      </c>
      <c r="D36" s="130">
        <f>'داده ها'!C102</f>
        <v>300000000</v>
      </c>
      <c r="E36" s="130"/>
      <c r="F36" s="127" t="s">
        <v>236</v>
      </c>
    </row>
    <row r="37" spans="2:6" ht="20.25" thickBot="1">
      <c r="B37" s="27"/>
      <c r="C37" s="36">
        <f>C32-C33-C34-C35-C36</f>
        <v>177325993.107221</v>
      </c>
      <c r="D37" s="36">
        <f>D32-D33-D34-D35-D36</f>
        <v>177325993.10722113</v>
      </c>
      <c r="E37" s="36">
        <f>E32-E33-E34</f>
        <v>211929351.5536105</v>
      </c>
      <c r="F37" s="74" t="s">
        <v>230</v>
      </c>
    </row>
    <row r="38" ht="13.5" thickTop="1"/>
  </sheetData>
  <sheetProtection/>
  <mergeCells count="12">
    <mergeCell ref="C17:F17"/>
    <mergeCell ref="C18:F18"/>
    <mergeCell ref="C19:F19"/>
    <mergeCell ref="C20:C21"/>
    <mergeCell ref="D20:E20"/>
    <mergeCell ref="F20:F21"/>
    <mergeCell ref="C2:F2"/>
    <mergeCell ref="C3:F3"/>
    <mergeCell ref="C4:F4"/>
    <mergeCell ref="C5:C6"/>
    <mergeCell ref="D5:E5"/>
    <mergeCell ref="F5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N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5.140625" style="1" customWidth="1"/>
    <col min="4" max="4" width="14.00390625" style="1" customWidth="1"/>
    <col min="5" max="5" width="38.8515625" style="1" customWidth="1"/>
    <col min="6" max="6" width="14.28125" style="1" customWidth="1"/>
    <col min="7" max="7" width="14.140625" style="1" customWidth="1"/>
    <col min="8" max="8" width="14.28125" style="1" customWidth="1"/>
    <col min="9" max="9" width="39.8515625" style="1" customWidth="1"/>
    <col min="10" max="13" width="9.140625" style="1" customWidth="1"/>
    <col min="14" max="14" width="13.7109375" style="1" bestFit="1" customWidth="1"/>
    <col min="15" max="16384" width="9.140625" style="1" customWidth="1"/>
  </cols>
  <sheetData>
    <row r="1" ht="12.75"/>
    <row r="2" ht="12.75"/>
    <row r="3" ht="12.75"/>
    <row r="4" spans="2:9" ht="12.75">
      <c r="B4" s="92"/>
      <c r="C4" s="92"/>
      <c r="D4" s="92"/>
      <c r="E4" s="92"/>
      <c r="F4" s="92"/>
      <c r="G4" s="92"/>
      <c r="H4" s="92"/>
      <c r="I4" s="92"/>
    </row>
    <row r="5" spans="2:9" ht="15">
      <c r="B5" s="262" t="s">
        <v>292</v>
      </c>
      <c r="C5" s="262"/>
      <c r="D5" s="262"/>
      <c r="E5" s="262"/>
      <c r="F5" s="262"/>
      <c r="G5" s="262"/>
      <c r="H5" s="262"/>
      <c r="I5" s="262"/>
    </row>
    <row r="6" spans="2:9" ht="15">
      <c r="B6" s="262" t="s">
        <v>164</v>
      </c>
      <c r="C6" s="262"/>
      <c r="D6" s="262"/>
      <c r="E6" s="262"/>
      <c r="F6" s="262"/>
      <c r="G6" s="262"/>
      <c r="H6" s="262"/>
      <c r="I6" s="262"/>
    </row>
    <row r="7" spans="2:9" ht="15.75" thickBot="1">
      <c r="B7" s="263" t="s">
        <v>232</v>
      </c>
      <c r="C7" s="263"/>
      <c r="D7" s="263"/>
      <c r="E7" s="263"/>
      <c r="F7" s="263"/>
      <c r="G7" s="263"/>
      <c r="H7" s="263"/>
      <c r="I7" s="263"/>
    </row>
    <row r="8" spans="2:9" ht="13.5" thickTop="1">
      <c r="B8" s="183" t="s">
        <v>167</v>
      </c>
      <c r="C8" s="184"/>
      <c r="D8" s="184"/>
      <c r="E8" s="185"/>
      <c r="F8" s="186" t="s">
        <v>166</v>
      </c>
      <c r="G8" s="184"/>
      <c r="H8" s="184"/>
      <c r="I8" s="187"/>
    </row>
    <row r="9" spans="2:9" ht="12.75">
      <c r="B9" s="75" t="s">
        <v>151</v>
      </c>
      <c r="C9" s="76" t="s">
        <v>151</v>
      </c>
      <c r="D9" s="76" t="s">
        <v>151</v>
      </c>
      <c r="E9" s="77"/>
      <c r="F9" s="76" t="s">
        <v>151</v>
      </c>
      <c r="G9" s="76" t="s">
        <v>151</v>
      </c>
      <c r="H9" s="76" t="s">
        <v>151</v>
      </c>
      <c r="I9" s="78"/>
    </row>
    <row r="10" spans="2:9" ht="12.75">
      <c r="B10" s="79"/>
      <c r="C10" s="80"/>
      <c r="D10" s="80"/>
      <c r="E10" s="81" t="s">
        <v>169</v>
      </c>
      <c r="F10" s="80"/>
      <c r="G10" s="80"/>
      <c r="H10" s="80"/>
      <c r="I10" s="82" t="s">
        <v>188</v>
      </c>
    </row>
    <row r="11" spans="2:9" ht="12.75">
      <c r="B11" s="79"/>
      <c r="C11" s="80">
        <f>'داده ها'!C8</f>
        <v>50830000</v>
      </c>
      <c r="D11" s="80"/>
      <c r="E11" s="81" t="s">
        <v>170</v>
      </c>
      <c r="F11" s="80"/>
      <c r="G11" s="80">
        <f>'بودجه نقدی '!C37</f>
        <v>177325993.107221</v>
      </c>
      <c r="H11" s="80"/>
      <c r="I11" s="82" t="s">
        <v>187</v>
      </c>
    </row>
    <row r="12" spans="2:9" ht="12.75">
      <c r="B12" s="79"/>
      <c r="C12" s="80">
        <f>'داده ها'!C9</f>
        <v>30000000</v>
      </c>
      <c r="D12" s="80"/>
      <c r="E12" s="81" t="s">
        <v>171</v>
      </c>
      <c r="F12" s="80"/>
      <c r="G12" s="80">
        <f>'داده ها'!G9</f>
        <v>20000000</v>
      </c>
      <c r="H12" s="80"/>
      <c r="I12" s="82" t="s">
        <v>189</v>
      </c>
    </row>
    <row r="13" spans="2:9" ht="13.5" thickBot="1">
      <c r="B13" s="79"/>
      <c r="C13" s="80">
        <f>'داده ها'!C10</f>
        <v>18000000</v>
      </c>
      <c r="D13" s="80"/>
      <c r="E13" s="81" t="s">
        <v>172</v>
      </c>
      <c r="F13" s="80"/>
      <c r="G13" s="80"/>
      <c r="H13" s="83">
        <f>'بودجه نقدی '!C15</f>
        <v>159800000</v>
      </c>
      <c r="I13" s="82" t="s">
        <v>190</v>
      </c>
    </row>
    <row r="14" spans="2:9" ht="13.5" thickBot="1">
      <c r="B14" s="79"/>
      <c r="C14" s="80">
        <f>'صورت سود وزیان بودجه شده'!E16</f>
        <v>335568462.6367615</v>
      </c>
      <c r="D14" s="80"/>
      <c r="E14" s="81" t="s">
        <v>243</v>
      </c>
      <c r="F14" s="80"/>
      <c r="G14" s="80"/>
      <c r="H14" s="122">
        <f>H13*'داده ها'!C82</f>
        <v>12784000</v>
      </c>
      <c r="I14" s="123" t="s">
        <v>191</v>
      </c>
    </row>
    <row r="15" spans="2:9" ht="13.5" thickBot="1">
      <c r="B15" s="79"/>
      <c r="C15" s="83">
        <f>'داده ها'!C12</f>
        <v>1000000</v>
      </c>
      <c r="D15" s="80"/>
      <c r="E15" s="81" t="s">
        <v>205</v>
      </c>
      <c r="F15" s="80"/>
      <c r="G15" s="80">
        <f>H13-H14</f>
        <v>147016000</v>
      </c>
      <c r="H15" s="80"/>
      <c r="I15" s="82"/>
    </row>
    <row r="16" spans="2:9" ht="12.75">
      <c r="B16" s="79"/>
      <c r="C16" s="80"/>
      <c r="D16" s="80"/>
      <c r="E16" s="81"/>
      <c r="F16" s="80"/>
      <c r="G16" s="80">
        <f>('بودجه مواد مستقيم'!I8*'داده ها'!F49)+('بودجه مواد مستقيم'!G8*'داده ها'!D49)+('بودجه مواد مستقيم'!E8*'داده ها'!B49)</f>
        <v>131000</v>
      </c>
      <c r="H16" s="80"/>
      <c r="I16" s="82" t="s">
        <v>245</v>
      </c>
    </row>
    <row r="17" spans="2:9" ht="14.25">
      <c r="B17" s="79"/>
      <c r="C17" s="80"/>
      <c r="D17" s="80"/>
      <c r="E17" s="81"/>
      <c r="F17" s="80"/>
      <c r="G17" s="80">
        <f>'بودجه بهاي تمام شده كالاي فروش '!C24</f>
        <v>3981284.4638949675</v>
      </c>
      <c r="H17" s="80"/>
      <c r="I17" s="82" t="s">
        <v>192</v>
      </c>
    </row>
    <row r="18" spans="2:9" ht="12.75">
      <c r="B18" s="79"/>
      <c r="C18" s="80"/>
      <c r="D18" s="80"/>
      <c r="E18" s="81"/>
      <c r="F18" s="80"/>
      <c r="G18" s="80">
        <f>'داده ها'!G15-('بودجه هزينه هاي اداري و فروش'!H10+'بودجه هزينه هاي اداري و فروش'!B13)</f>
        <v>500000</v>
      </c>
      <c r="H18" s="80"/>
      <c r="I18" s="82" t="s">
        <v>193</v>
      </c>
    </row>
    <row r="19" spans="2:9" ht="13.5" thickBot="1">
      <c r="B19" s="79"/>
      <c r="C19" s="80"/>
      <c r="D19" s="80"/>
      <c r="E19" s="81"/>
      <c r="F19" s="80"/>
      <c r="G19" s="83">
        <f>'داده ها'!G16-'بودجه هزينه هاي اداري و فروش'!B12</f>
        <v>800000</v>
      </c>
      <c r="H19" s="80"/>
      <c r="I19" s="82" t="s">
        <v>194</v>
      </c>
    </row>
    <row r="20" spans="2:9" ht="12.75">
      <c r="B20" s="79">
        <f>SUM(C11:C15)</f>
        <v>435398462.6367615</v>
      </c>
      <c r="C20" s="80"/>
      <c r="D20" s="80"/>
      <c r="E20" s="81" t="s">
        <v>174</v>
      </c>
      <c r="F20" s="80">
        <f>G19+G18+G17+G15+G12+G11</f>
        <v>349623277.571116</v>
      </c>
      <c r="G20" s="80"/>
      <c r="H20" s="80"/>
      <c r="I20" s="82" t="s">
        <v>195</v>
      </c>
    </row>
    <row r="21" spans="2:9" ht="12.75">
      <c r="B21" s="79"/>
      <c r="C21" s="80"/>
      <c r="D21" s="80"/>
      <c r="E21" s="81"/>
      <c r="F21" s="80"/>
      <c r="G21" s="80"/>
      <c r="H21" s="80"/>
      <c r="I21" s="82"/>
    </row>
    <row r="22" spans="2:9" ht="12.75">
      <c r="B22" s="79"/>
      <c r="C22" s="80"/>
      <c r="D22" s="80"/>
      <c r="E22" s="81"/>
      <c r="F22" s="80"/>
      <c r="G22" s="80"/>
      <c r="H22" s="80"/>
      <c r="I22" s="82" t="s">
        <v>234</v>
      </c>
    </row>
    <row r="23" spans="2:9" ht="12.75">
      <c r="B23" s="79"/>
      <c r="C23" s="80"/>
      <c r="D23" s="80"/>
      <c r="E23" s="81"/>
      <c r="F23" s="80"/>
      <c r="G23" s="80">
        <f>'بودجه مخارج سرمایه ای'!D8</f>
        <v>77000000</v>
      </c>
      <c r="H23" s="80"/>
      <c r="I23" s="82" t="s">
        <v>233</v>
      </c>
    </row>
    <row r="24" spans="2:9" ht="13.5" thickBot="1">
      <c r="B24" s="79"/>
      <c r="C24" s="80"/>
      <c r="D24" s="80"/>
      <c r="E24" s="81"/>
      <c r="F24" s="80"/>
      <c r="G24" s="122">
        <v>7000000</v>
      </c>
      <c r="H24" s="124"/>
      <c r="I24" s="123" t="s">
        <v>235</v>
      </c>
    </row>
    <row r="25" spans="2:9" ht="12.75">
      <c r="B25" s="79"/>
      <c r="C25" s="80"/>
      <c r="D25" s="80"/>
      <c r="E25" s="81"/>
      <c r="F25" s="80">
        <f>G23-G24</f>
        <v>70000000</v>
      </c>
      <c r="G25" s="80"/>
      <c r="H25" s="80"/>
      <c r="I25" s="82"/>
    </row>
    <row r="26" spans="2:9" ht="12.75">
      <c r="B26" s="79"/>
      <c r="C26" s="80"/>
      <c r="D26" s="80"/>
      <c r="E26" s="81" t="s">
        <v>175</v>
      </c>
      <c r="F26" s="80"/>
      <c r="G26" s="80"/>
      <c r="H26" s="80"/>
      <c r="I26" s="82" t="s">
        <v>196</v>
      </c>
    </row>
    <row r="27" spans="2:9" ht="13.5" thickBot="1">
      <c r="B27" s="84">
        <v>8000000</v>
      </c>
      <c r="C27" s="80"/>
      <c r="D27" s="80"/>
      <c r="E27" s="81" t="s">
        <v>176</v>
      </c>
      <c r="F27" s="80"/>
      <c r="G27" s="80">
        <f>'داده ها'!G19</f>
        <v>24000000</v>
      </c>
      <c r="H27" s="80"/>
      <c r="I27" s="82" t="s">
        <v>197</v>
      </c>
    </row>
    <row r="28" spans="2:9" ht="12.75">
      <c r="B28" s="79">
        <f>B27+B20</f>
        <v>443398462.6367615</v>
      </c>
      <c r="C28" s="80"/>
      <c r="D28" s="80"/>
      <c r="E28" s="81" t="s">
        <v>186</v>
      </c>
      <c r="F28" s="80"/>
      <c r="G28" s="80"/>
      <c r="H28" s="80">
        <f>'داده ها'!H20</f>
        <v>70000000</v>
      </c>
      <c r="I28" s="82" t="s">
        <v>198</v>
      </c>
    </row>
    <row r="29" spans="2:9" ht="13.5" thickBot="1">
      <c r="B29" s="79"/>
      <c r="C29" s="80"/>
      <c r="D29" s="80"/>
      <c r="E29" s="81"/>
      <c r="F29" s="80"/>
      <c r="G29" s="80"/>
      <c r="H29" s="122">
        <v>14000000</v>
      </c>
      <c r="I29" s="123" t="s">
        <v>199</v>
      </c>
    </row>
    <row r="30" spans="2:9" ht="12.75">
      <c r="B30" s="180" t="s">
        <v>168</v>
      </c>
      <c r="C30" s="181"/>
      <c r="D30" s="181"/>
      <c r="E30" s="182"/>
      <c r="F30" s="80"/>
      <c r="G30" s="80">
        <f>H28-H29</f>
        <v>56000000</v>
      </c>
      <c r="H30" s="80"/>
      <c r="I30" s="82"/>
    </row>
    <row r="31" spans="2:9" ht="12.75">
      <c r="B31" s="79"/>
      <c r="C31" s="80"/>
      <c r="D31" s="80"/>
      <c r="E31" s="81" t="s">
        <v>177</v>
      </c>
      <c r="F31" s="80"/>
      <c r="G31" s="80"/>
      <c r="H31" s="80">
        <f>'داده ها'!H23+'بودجه مخارج سرمایه ای'!D7+'بودجه مخارج سرمایه ای'!D9+'بودجه مخارج سرمایه ای'!D10</f>
        <v>228000000</v>
      </c>
      <c r="I31" s="82" t="s">
        <v>200</v>
      </c>
    </row>
    <row r="32" spans="2:9" ht="13.5" thickBot="1">
      <c r="B32" s="79"/>
      <c r="C32" s="80"/>
      <c r="D32" s="80">
        <f>'داده ها'!D24</f>
        <v>50000000</v>
      </c>
      <c r="E32" s="81" t="s">
        <v>178</v>
      </c>
      <c r="F32" s="80"/>
      <c r="G32" s="80"/>
      <c r="H32" s="122">
        <v>6000000</v>
      </c>
      <c r="I32" s="123" t="s">
        <v>199</v>
      </c>
    </row>
    <row r="33" spans="2:9" ht="13.5" thickBot="1">
      <c r="B33" s="79"/>
      <c r="C33" s="80"/>
      <c r="D33" s="83">
        <f>'داده ها'!D25</f>
        <v>150000000</v>
      </c>
      <c r="E33" s="81" t="s">
        <v>179</v>
      </c>
      <c r="F33" s="80"/>
      <c r="G33" s="83">
        <f>H31-H32</f>
        <v>222000000</v>
      </c>
      <c r="H33" s="80"/>
      <c r="I33" s="82"/>
    </row>
    <row r="34" spans="2:9" ht="12.75">
      <c r="B34" s="79"/>
      <c r="C34" s="80"/>
      <c r="D34" s="80">
        <f>D33+D32</f>
        <v>200000000</v>
      </c>
      <c r="E34" s="81" t="s">
        <v>184</v>
      </c>
      <c r="F34" s="135">
        <f>G33+G30+G27</f>
        <v>302000000</v>
      </c>
      <c r="G34" s="80"/>
      <c r="H34" s="80"/>
      <c r="I34" s="82" t="s">
        <v>204</v>
      </c>
    </row>
    <row r="35" spans="2:9" ht="12.75">
      <c r="B35" s="79"/>
      <c r="C35" s="80"/>
      <c r="D35" s="80">
        <f>'داده ها'!D27</f>
        <v>20000000</v>
      </c>
      <c r="E35" s="81" t="s">
        <v>180</v>
      </c>
      <c r="F35" s="80"/>
      <c r="G35" s="80"/>
      <c r="H35" s="80"/>
      <c r="I35" s="82"/>
    </row>
    <row r="36" spans="2:9" ht="12.75">
      <c r="B36" s="79"/>
      <c r="C36" s="80"/>
      <c r="D36" s="80">
        <f>'داده ها'!D28</f>
        <v>20000000</v>
      </c>
      <c r="E36" s="81" t="s">
        <v>181</v>
      </c>
      <c r="F36" s="80"/>
      <c r="G36" s="80"/>
      <c r="H36" s="80"/>
      <c r="I36" s="82"/>
    </row>
    <row r="37" spans="2:9" ht="12.75">
      <c r="B37" s="79"/>
      <c r="C37" s="80"/>
      <c r="D37" s="80">
        <f>'داده ها'!D29+'صورت سود وزیان بودجه شده'!E17-'داده ها'!C102</f>
        <v>46568462.63676149</v>
      </c>
      <c r="E37" s="81" t="s">
        <v>182</v>
      </c>
      <c r="F37" s="80"/>
      <c r="G37" s="80"/>
      <c r="H37" s="80"/>
      <c r="I37" s="82"/>
    </row>
    <row r="38" spans="2:9" ht="13.5" thickBot="1">
      <c r="B38" s="79"/>
      <c r="C38" s="80"/>
      <c r="D38" s="122">
        <v>7000000</v>
      </c>
      <c r="E38" s="125" t="s">
        <v>244</v>
      </c>
      <c r="F38" s="80"/>
      <c r="G38" s="80"/>
      <c r="H38" s="80"/>
      <c r="I38" s="82"/>
    </row>
    <row r="39" spans="2:9" ht="12.75">
      <c r="B39" s="79">
        <f>D34+D35+D36+D37-D38</f>
        <v>279568462.6367615</v>
      </c>
      <c r="C39" s="80"/>
      <c r="D39" s="80"/>
      <c r="E39" s="81" t="s">
        <v>185</v>
      </c>
      <c r="F39" s="80"/>
      <c r="G39" s="80"/>
      <c r="H39" s="80"/>
      <c r="I39" s="82"/>
    </row>
    <row r="40" spans="2:9" ht="13.5" thickBot="1">
      <c r="B40" s="84"/>
      <c r="C40" s="80"/>
      <c r="D40" s="80"/>
      <c r="E40" s="81"/>
      <c r="F40" s="85"/>
      <c r="G40" s="80"/>
      <c r="H40" s="80"/>
      <c r="I40" s="82"/>
    </row>
    <row r="41" spans="2:9" ht="20.25" thickBot="1">
      <c r="B41" s="86">
        <f>B39+B28-N44</f>
        <v>721623277.571116</v>
      </c>
      <c r="C41" s="80"/>
      <c r="D41" s="80"/>
      <c r="E41" s="81" t="s">
        <v>183</v>
      </c>
      <c r="F41" s="87">
        <f>F34+F25+F20</f>
        <v>721623277.571116</v>
      </c>
      <c r="G41" s="80"/>
      <c r="H41" s="80"/>
      <c r="I41" s="82" t="s">
        <v>201</v>
      </c>
    </row>
    <row r="42" spans="2:9" ht="21" thickBot="1" thickTop="1">
      <c r="B42" s="88"/>
      <c r="C42" s="89"/>
      <c r="D42" s="89"/>
      <c r="E42" s="90"/>
      <c r="F42" s="89"/>
      <c r="G42" s="89"/>
      <c r="H42" s="89"/>
      <c r="I42" s="91"/>
    </row>
    <row r="43" ht="13.5" thickTop="1"/>
    <row r="44" ht="12.75">
      <c r="N44" s="136">
        <f>B28+B39-F34-F25-F20</f>
        <v>1343647.7024070024</v>
      </c>
    </row>
  </sheetData>
  <sheetProtection/>
  <mergeCells count="6">
    <mergeCell ref="B30:E30"/>
    <mergeCell ref="B5:I5"/>
    <mergeCell ref="B6:I6"/>
    <mergeCell ref="B7:I7"/>
    <mergeCell ref="B8:E8"/>
    <mergeCell ref="F8:I8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4.7109375" style="1" bestFit="1" customWidth="1"/>
    <col min="2" max="2" width="9.140625" style="1" customWidth="1"/>
    <col min="3" max="3" width="14.00390625" style="1" customWidth="1"/>
    <col min="4" max="4" width="14.57421875" style="1" customWidth="1"/>
    <col min="5" max="5" width="15.57421875" style="1" customWidth="1"/>
    <col min="6" max="6" width="46.7109375" style="1" customWidth="1"/>
    <col min="7" max="16384" width="9.140625" style="1" customWidth="1"/>
  </cols>
  <sheetData>
    <row r="1" ht="13.5" thickBot="1"/>
    <row r="2" spans="3:6" ht="18">
      <c r="C2" s="152" t="s">
        <v>291</v>
      </c>
      <c r="D2" s="157"/>
      <c r="E2" s="157"/>
      <c r="F2" s="153"/>
    </row>
    <row r="3" spans="3:6" ht="18">
      <c r="C3" s="225" t="s">
        <v>247</v>
      </c>
      <c r="D3" s="226"/>
      <c r="E3" s="226"/>
      <c r="F3" s="227"/>
    </row>
    <row r="4" spans="3:6" ht="18.75" thickBot="1">
      <c r="C4" s="158" t="s">
        <v>132</v>
      </c>
      <c r="D4" s="159"/>
      <c r="E4" s="159"/>
      <c r="F4" s="160"/>
    </row>
    <row r="5" spans="2:6" ht="21" thickBot="1">
      <c r="B5" s="27"/>
      <c r="C5" s="95" t="s">
        <v>151</v>
      </c>
      <c r="D5" s="96" t="s">
        <v>151</v>
      </c>
      <c r="E5" s="97" t="s">
        <v>151</v>
      </c>
      <c r="F5" s="58"/>
    </row>
    <row r="6" spans="2:6" ht="21" thickBot="1">
      <c r="B6" s="27"/>
      <c r="C6" s="33"/>
      <c r="D6" s="33"/>
      <c r="E6" s="33"/>
      <c r="F6" s="58" t="s">
        <v>248</v>
      </c>
    </row>
    <row r="7" spans="2:6" ht="21" thickBot="1">
      <c r="B7" s="27"/>
      <c r="C7" s="33"/>
      <c r="D7" s="33">
        <f>'صورت سود وزیان بودجه شده'!E17</f>
        <v>335568462.6367615</v>
      </c>
      <c r="E7" s="33"/>
      <c r="F7" s="58" t="s">
        <v>249</v>
      </c>
    </row>
    <row r="8" spans="2:6" ht="21" thickBot="1">
      <c r="B8" s="27"/>
      <c r="C8" s="33"/>
      <c r="D8" s="33"/>
      <c r="E8" s="33"/>
      <c r="F8" s="58" t="s">
        <v>250</v>
      </c>
    </row>
    <row r="9" spans="2:6" ht="21" thickBot="1">
      <c r="B9" s="27"/>
      <c r="C9" s="33"/>
      <c r="D9" s="33"/>
      <c r="E9" s="33"/>
      <c r="F9" s="58" t="s">
        <v>251</v>
      </c>
    </row>
    <row r="10" spans="2:6" ht="21" thickBot="1">
      <c r="B10" s="27"/>
      <c r="C10" s="33"/>
      <c r="D10" s="33"/>
      <c r="E10" s="33">
        <f>'بودجه هزينه هاي اداري و فروش'!B11</f>
        <v>4594000</v>
      </c>
      <c r="F10" s="58" t="s">
        <v>252</v>
      </c>
    </row>
    <row r="11" spans="2:6" ht="21" thickBot="1">
      <c r="B11" s="27"/>
      <c r="C11" s="33"/>
      <c r="D11" s="33"/>
      <c r="E11" s="33">
        <f>'ترازنامه بودجه شده '!H29-'داده ها'!H21+'ترازنامه بودجه شده '!H32-'داده ها'!H24</f>
        <v>10000000</v>
      </c>
      <c r="F11" s="58" t="s">
        <v>253</v>
      </c>
    </row>
    <row r="12" spans="2:6" ht="21" thickBot="1">
      <c r="B12" s="27"/>
      <c r="C12" s="33"/>
      <c r="D12" s="33"/>
      <c r="E12" s="33">
        <f>'داده ها'!G15-'ترازنامه بودجه شده '!G18</f>
        <v>2500000</v>
      </c>
      <c r="F12" s="58" t="s">
        <v>280</v>
      </c>
    </row>
    <row r="13" spans="2:6" ht="21" thickBot="1">
      <c r="B13" s="27"/>
      <c r="C13" s="33"/>
      <c r="D13" s="33"/>
      <c r="E13" s="33">
        <f>'داده ها'!G16-'ترازنامه بودجه شده '!G19</f>
        <v>800000</v>
      </c>
      <c r="F13" s="58" t="s">
        <v>271</v>
      </c>
    </row>
    <row r="14" spans="2:6" ht="21" thickBot="1">
      <c r="B14" s="27"/>
      <c r="C14" s="98"/>
      <c r="D14" s="98"/>
      <c r="E14" s="98">
        <f>'داده ها'!G12-'ترازنامه بودجه شده '!G15</f>
        <v>-38206000</v>
      </c>
      <c r="F14" s="99" t="s">
        <v>254</v>
      </c>
    </row>
    <row r="15" spans="2:6" ht="21" thickBot="1">
      <c r="B15" s="27"/>
      <c r="C15" s="33"/>
      <c r="D15" s="33"/>
      <c r="E15" s="33">
        <f>'داده ها'!G13-'ترازنامه بودجه شده '!G16</f>
        <v>789000</v>
      </c>
      <c r="F15" s="58" t="s">
        <v>268</v>
      </c>
    </row>
    <row r="16" spans="2:6" ht="21" thickBot="1">
      <c r="B16" s="27"/>
      <c r="C16" s="33"/>
      <c r="D16" s="33"/>
      <c r="E16" s="33">
        <f>'داده ها'!G14-'ترازنامه بودجه شده '!G17</f>
        <v>74318715.53610504</v>
      </c>
      <c r="F16" s="58" t="s">
        <v>269</v>
      </c>
    </row>
    <row r="17" spans="2:6" ht="21" thickBot="1">
      <c r="B17" s="27"/>
      <c r="C17" s="98"/>
      <c r="D17" s="98"/>
      <c r="E17" s="98">
        <v>-600000</v>
      </c>
      <c r="F17" s="99" t="s">
        <v>270</v>
      </c>
    </row>
    <row r="18" spans="2:6" ht="21" thickBot="1">
      <c r="B18" s="27"/>
      <c r="C18" s="33"/>
      <c r="D18" s="33"/>
      <c r="E18" s="33">
        <f>'ترازنامه بودجه شده '!C14</f>
        <v>335568462.6367615</v>
      </c>
      <c r="F18" s="58" t="s">
        <v>257</v>
      </c>
    </row>
    <row r="19" spans="2:6" ht="21" thickBot="1">
      <c r="B19" s="27"/>
      <c r="C19" s="98"/>
      <c r="D19" s="98"/>
      <c r="E19" s="98">
        <f>'داده ها'!C11*-1</f>
        <v>-2000000</v>
      </c>
      <c r="F19" s="99" t="s">
        <v>255</v>
      </c>
    </row>
    <row r="20" spans="2:6" ht="21" thickBot="1">
      <c r="B20" s="27"/>
      <c r="C20" s="33"/>
      <c r="D20" s="33"/>
      <c r="E20" s="33">
        <f>'ترازنامه بودجه شده '!G24</f>
        <v>7000000</v>
      </c>
      <c r="F20" s="58" t="s">
        <v>272</v>
      </c>
    </row>
    <row r="21" spans="2:6" ht="21" thickBot="1">
      <c r="B21" s="27"/>
      <c r="C21" s="33"/>
      <c r="D21" s="33">
        <f>SUM(E10:E20)</f>
        <v>394764178.1728665</v>
      </c>
      <c r="E21" s="33"/>
      <c r="F21" s="58" t="s">
        <v>144</v>
      </c>
    </row>
    <row r="22" spans="2:6" ht="21" thickBot="1">
      <c r="B22" s="27"/>
      <c r="C22" s="33">
        <f>D21+D7</f>
        <v>730332640.809628</v>
      </c>
      <c r="D22" s="33"/>
      <c r="E22" s="33"/>
      <c r="F22" s="58" t="s">
        <v>256</v>
      </c>
    </row>
    <row r="23" spans="2:6" ht="21" thickBot="1">
      <c r="B23" s="27"/>
      <c r="C23" s="33"/>
      <c r="D23" s="33"/>
      <c r="E23" s="33"/>
      <c r="F23" s="58" t="s">
        <v>258</v>
      </c>
    </row>
    <row r="24" spans="2:6" ht="21" thickBot="1">
      <c r="B24" s="27"/>
      <c r="C24" s="98">
        <f>-('بودجه مخارج سرمایه ای'!D7+'بودجه مخارج سرمایه ای'!D9+'بودجه مخارج سرمایه ای'!D10)</f>
        <v>-198000000</v>
      </c>
      <c r="D24" s="98"/>
      <c r="E24" s="98"/>
      <c r="F24" s="99" t="s">
        <v>259</v>
      </c>
    </row>
    <row r="25" spans="2:6" ht="21" thickBot="1">
      <c r="B25" s="27"/>
      <c r="C25" s="98">
        <f>'ترازنامه بودجه شده '!F25*-1</f>
        <v>-70000000</v>
      </c>
      <c r="D25" s="98"/>
      <c r="E25" s="98"/>
      <c r="F25" s="99" t="s">
        <v>260</v>
      </c>
    </row>
    <row r="26" spans="1:6" ht="21" thickBot="1">
      <c r="A26" s="28"/>
      <c r="B26" s="27"/>
      <c r="C26" s="33"/>
      <c r="D26" s="33"/>
      <c r="E26" s="33"/>
      <c r="F26" s="58" t="s">
        <v>261</v>
      </c>
    </row>
    <row r="27" spans="2:6" ht="21" thickBot="1">
      <c r="B27" s="27"/>
      <c r="C27" s="98"/>
      <c r="D27" s="98">
        <f>('داده ها'!B19-'ترازنامه بودجه شده '!B27)*-1</f>
        <v>-1000000</v>
      </c>
      <c r="E27" s="98"/>
      <c r="F27" s="99" t="s">
        <v>262</v>
      </c>
    </row>
    <row r="28" spans="2:6" ht="21" thickBot="1">
      <c r="B28" s="27"/>
      <c r="C28" s="98"/>
      <c r="D28" s="98">
        <f>'داده ها'!C102*-1</f>
        <v>-300000000</v>
      </c>
      <c r="E28" s="98"/>
      <c r="F28" s="99" t="s">
        <v>263</v>
      </c>
    </row>
    <row r="29" spans="2:6" ht="21" thickBot="1">
      <c r="B29" s="27"/>
      <c r="C29" s="98">
        <f>D27+D28</f>
        <v>-301000000</v>
      </c>
      <c r="D29" s="98"/>
      <c r="E29" s="98"/>
      <c r="F29" s="99" t="s">
        <v>264</v>
      </c>
    </row>
    <row r="30" spans="2:6" ht="21" thickBot="1">
      <c r="B30" s="27"/>
      <c r="C30" s="33">
        <f>C22+C24+C25+C29</f>
        <v>161332640.809628</v>
      </c>
      <c r="D30" s="33"/>
      <c r="E30" s="33"/>
      <c r="F30" s="58" t="s">
        <v>265</v>
      </c>
    </row>
    <row r="31" spans="2:6" ht="21" thickBot="1">
      <c r="B31" s="27"/>
      <c r="C31" s="33">
        <f>'داده ها'!G8</f>
        <v>35200000</v>
      </c>
      <c r="D31" s="33"/>
      <c r="E31" s="33"/>
      <c r="F31" s="58" t="s">
        <v>266</v>
      </c>
    </row>
    <row r="32" spans="2:6" ht="21" thickBot="1">
      <c r="B32" s="27"/>
      <c r="C32" s="64">
        <f>C30+C31</f>
        <v>196532640.809628</v>
      </c>
      <c r="D32" s="33"/>
      <c r="E32" s="33"/>
      <c r="F32" s="58" t="s">
        <v>267</v>
      </c>
    </row>
    <row r="33" spans="3:6" ht="21" thickTop="1">
      <c r="C33" s="4"/>
      <c r="D33" s="4"/>
      <c r="F33" s="93"/>
    </row>
    <row r="34" spans="5:6" ht="20.25">
      <c r="E34" s="4"/>
      <c r="F34" s="94"/>
    </row>
    <row r="35" spans="5:6" ht="20.25">
      <c r="E35" s="4"/>
      <c r="F35" s="94"/>
    </row>
  </sheetData>
  <sheetProtection/>
  <mergeCells count="3">
    <mergeCell ref="C2:F2"/>
    <mergeCell ref="C3:F3"/>
    <mergeCell ref="C4:F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1"/>
  <sheetViews>
    <sheetView tabSelected="1" zoomScalePageLayoutView="0" workbookViewId="0" topLeftCell="A1">
      <selection activeCell="E53" sqref="E53"/>
    </sheetView>
  </sheetViews>
  <sheetFormatPr defaultColWidth="9.421875" defaultRowHeight="12.75"/>
  <cols>
    <col min="1" max="1" width="13.00390625" style="3" customWidth="1"/>
    <col min="2" max="2" width="14.28125" style="3" customWidth="1"/>
    <col min="3" max="3" width="14.421875" style="3" customWidth="1"/>
    <col min="4" max="4" width="26.28125" style="3" customWidth="1"/>
    <col min="5" max="5" width="34.140625" style="3" customWidth="1"/>
    <col min="6" max="6" width="14.28125" style="3" customWidth="1"/>
    <col min="7" max="7" width="13.8515625" style="3" customWidth="1"/>
    <col min="8" max="8" width="18.421875" style="3" customWidth="1"/>
    <col min="9" max="9" width="32.140625" style="3" customWidth="1"/>
    <col min="10" max="16384" width="9.421875" style="3" customWidth="1"/>
  </cols>
  <sheetData>
    <row r="2" spans="2:9" ht="18.75">
      <c r="B2" s="178" t="s">
        <v>281</v>
      </c>
      <c r="C2" s="178"/>
      <c r="D2" s="178"/>
      <c r="E2" s="178"/>
      <c r="F2" s="178"/>
      <c r="G2" s="178"/>
      <c r="H2" s="178"/>
      <c r="I2" s="178"/>
    </row>
    <row r="3" spans="2:9" ht="18.75">
      <c r="B3" s="178" t="s">
        <v>164</v>
      </c>
      <c r="C3" s="178"/>
      <c r="D3" s="178"/>
      <c r="E3" s="178"/>
      <c r="F3" s="178"/>
      <c r="G3" s="178"/>
      <c r="H3" s="178"/>
      <c r="I3" s="178"/>
    </row>
    <row r="4" spans="2:9" ht="19.5" thickBot="1">
      <c r="B4" s="179" t="s">
        <v>165</v>
      </c>
      <c r="C4" s="179"/>
      <c r="D4" s="179"/>
      <c r="E4" s="179"/>
      <c r="F4" s="179"/>
      <c r="G4" s="179"/>
      <c r="H4" s="179"/>
      <c r="I4" s="179"/>
    </row>
    <row r="5" spans="2:9" ht="19.5" thickTop="1">
      <c r="B5" s="183" t="s">
        <v>167</v>
      </c>
      <c r="C5" s="184"/>
      <c r="D5" s="184"/>
      <c r="E5" s="185"/>
      <c r="F5" s="186" t="s">
        <v>166</v>
      </c>
      <c r="G5" s="184"/>
      <c r="H5" s="184"/>
      <c r="I5" s="187"/>
    </row>
    <row r="6" spans="2:9" ht="18.75">
      <c r="B6" s="75" t="s">
        <v>151</v>
      </c>
      <c r="C6" s="76" t="s">
        <v>151</v>
      </c>
      <c r="D6" s="76" t="s">
        <v>151</v>
      </c>
      <c r="E6" s="77"/>
      <c r="F6" s="76" t="s">
        <v>151</v>
      </c>
      <c r="G6" s="76" t="s">
        <v>151</v>
      </c>
      <c r="H6" s="76" t="s">
        <v>151</v>
      </c>
      <c r="I6" s="78"/>
    </row>
    <row r="7" spans="2:9" ht="19.5">
      <c r="B7" s="79"/>
      <c r="C7" s="80"/>
      <c r="D7" s="80"/>
      <c r="E7" s="81" t="s">
        <v>169</v>
      </c>
      <c r="F7" s="80"/>
      <c r="G7" s="80"/>
      <c r="H7" s="80"/>
      <c r="I7" s="82" t="s">
        <v>188</v>
      </c>
    </row>
    <row r="8" spans="2:9" ht="19.5">
      <c r="B8" s="79"/>
      <c r="C8" s="80">
        <v>50830000</v>
      </c>
      <c r="D8" s="80"/>
      <c r="E8" s="81" t="s">
        <v>170</v>
      </c>
      <c r="F8" s="80"/>
      <c r="G8" s="80">
        <v>35200000</v>
      </c>
      <c r="H8" s="80"/>
      <c r="I8" s="82" t="s">
        <v>187</v>
      </c>
    </row>
    <row r="9" spans="2:9" ht="19.5">
      <c r="B9" s="79"/>
      <c r="C9" s="80">
        <v>30000000</v>
      </c>
      <c r="D9" s="80"/>
      <c r="E9" s="81" t="s">
        <v>171</v>
      </c>
      <c r="F9" s="80"/>
      <c r="G9" s="80">
        <v>20000000</v>
      </c>
      <c r="H9" s="80"/>
      <c r="I9" s="82" t="s">
        <v>189</v>
      </c>
    </row>
    <row r="10" spans="2:9" ht="19.5">
      <c r="B10" s="79"/>
      <c r="C10" s="80">
        <v>18000000</v>
      </c>
      <c r="D10" s="80"/>
      <c r="E10" s="81" t="s">
        <v>172</v>
      </c>
      <c r="F10" s="80"/>
      <c r="G10" s="80"/>
      <c r="H10" s="80">
        <f>C97*10%+B97*30%</f>
        <v>117000000</v>
      </c>
      <c r="I10" s="82" t="s">
        <v>190</v>
      </c>
    </row>
    <row r="11" spans="2:9" ht="20.25" thickBot="1">
      <c r="B11" s="79"/>
      <c r="C11" s="80">
        <v>2000000</v>
      </c>
      <c r="D11" s="80"/>
      <c r="E11" s="81" t="s">
        <v>173</v>
      </c>
      <c r="F11" s="80"/>
      <c r="G11" s="80"/>
      <c r="H11" s="122">
        <v>8190000</v>
      </c>
      <c r="I11" s="123" t="s">
        <v>191</v>
      </c>
    </row>
    <row r="12" spans="2:9" ht="20.25" thickBot="1">
      <c r="B12" s="79"/>
      <c r="C12" s="83">
        <v>1000000</v>
      </c>
      <c r="D12" s="80"/>
      <c r="E12" s="81" t="s">
        <v>205</v>
      </c>
      <c r="F12" s="80"/>
      <c r="G12" s="80">
        <f>H10-H11</f>
        <v>108810000</v>
      </c>
      <c r="H12" s="80"/>
      <c r="I12" s="82"/>
    </row>
    <row r="13" spans="2:9" ht="19.5">
      <c r="B13" s="79"/>
      <c r="C13" s="80"/>
      <c r="D13" s="80"/>
      <c r="E13" s="81"/>
      <c r="F13" s="80"/>
      <c r="G13" s="80">
        <f>(G49*F49)+(E49*D49)+(C49*B49)</f>
        <v>920000</v>
      </c>
      <c r="H13" s="80"/>
      <c r="I13" s="82" t="s">
        <v>242</v>
      </c>
    </row>
    <row r="14" spans="2:9" ht="22.5">
      <c r="B14" s="79"/>
      <c r="C14" s="80"/>
      <c r="D14" s="80"/>
      <c r="E14" s="81"/>
      <c r="F14" s="80"/>
      <c r="G14" s="80">
        <f>(G46*F46)+(E46*D46)+(C46*B46)</f>
        <v>78300000</v>
      </c>
      <c r="H14" s="80"/>
      <c r="I14" s="82" t="s">
        <v>192</v>
      </c>
    </row>
    <row r="15" spans="2:9" ht="19.5">
      <c r="B15" s="79"/>
      <c r="C15" s="80"/>
      <c r="D15" s="80"/>
      <c r="E15" s="81"/>
      <c r="F15" s="80"/>
      <c r="G15" s="80">
        <v>3000000</v>
      </c>
      <c r="H15" s="80"/>
      <c r="I15" s="82" t="s">
        <v>193</v>
      </c>
    </row>
    <row r="16" spans="2:9" ht="20.25" thickBot="1">
      <c r="B16" s="79"/>
      <c r="C16" s="80"/>
      <c r="D16" s="80"/>
      <c r="E16" s="81"/>
      <c r="F16" s="80"/>
      <c r="G16" s="83">
        <v>1600000</v>
      </c>
      <c r="H16" s="80"/>
      <c r="I16" s="82" t="s">
        <v>194</v>
      </c>
    </row>
    <row r="17" spans="2:9" ht="19.5">
      <c r="B17" s="79">
        <f>SUM(C8:C12)</f>
        <v>101830000</v>
      </c>
      <c r="C17" s="80"/>
      <c r="D17" s="80"/>
      <c r="E17" s="81" t="s">
        <v>174</v>
      </c>
      <c r="F17" s="80">
        <f>SUM(G8:G9,G12:G16)</f>
        <v>247830000</v>
      </c>
      <c r="G17" s="80"/>
      <c r="H17" s="80"/>
      <c r="I17" s="82" t="s">
        <v>195</v>
      </c>
    </row>
    <row r="18" spans="2:9" ht="19.5">
      <c r="B18" s="79"/>
      <c r="C18" s="80"/>
      <c r="D18" s="80"/>
      <c r="E18" s="81" t="s">
        <v>175</v>
      </c>
      <c r="F18" s="80"/>
      <c r="G18" s="80"/>
      <c r="H18" s="80"/>
      <c r="I18" s="82" t="s">
        <v>196</v>
      </c>
    </row>
    <row r="19" spans="2:9" ht="20.25" thickBot="1">
      <c r="B19" s="84">
        <v>9000000</v>
      </c>
      <c r="C19" s="80"/>
      <c r="D19" s="80"/>
      <c r="E19" s="81" t="s">
        <v>176</v>
      </c>
      <c r="F19" s="80"/>
      <c r="G19" s="80">
        <v>24000000</v>
      </c>
      <c r="H19" s="80"/>
      <c r="I19" s="82" t="s">
        <v>197</v>
      </c>
    </row>
    <row r="20" spans="2:9" ht="19.5">
      <c r="B20" s="79">
        <f>B19+B17</f>
        <v>110830000</v>
      </c>
      <c r="C20" s="80"/>
      <c r="D20" s="80"/>
      <c r="E20" s="81" t="s">
        <v>186</v>
      </c>
      <c r="F20" s="80"/>
      <c r="G20" s="80"/>
      <c r="H20" s="80">
        <v>70000000</v>
      </c>
      <c r="I20" s="82" t="s">
        <v>198</v>
      </c>
    </row>
    <row r="21" spans="2:9" ht="20.25" thickBot="1">
      <c r="B21" s="79"/>
      <c r="C21" s="80"/>
      <c r="D21" s="80"/>
      <c r="E21" s="81"/>
      <c r="F21" s="80"/>
      <c r="G21" s="80"/>
      <c r="H21" s="122">
        <v>7000000</v>
      </c>
      <c r="I21" s="123" t="s">
        <v>199</v>
      </c>
    </row>
    <row r="22" spans="2:9" ht="19.5">
      <c r="B22" s="180" t="s">
        <v>168</v>
      </c>
      <c r="C22" s="181"/>
      <c r="D22" s="181"/>
      <c r="E22" s="182"/>
      <c r="F22" s="80"/>
      <c r="G22" s="80">
        <f>H20-H21</f>
        <v>63000000</v>
      </c>
      <c r="H22" s="80"/>
      <c r="I22" s="82"/>
    </row>
    <row r="23" spans="2:9" ht="19.5">
      <c r="B23" s="79"/>
      <c r="C23" s="80"/>
      <c r="D23" s="80"/>
      <c r="E23" s="81" t="s">
        <v>177</v>
      </c>
      <c r="F23" s="80"/>
      <c r="G23" s="80"/>
      <c r="H23" s="80">
        <v>30000000</v>
      </c>
      <c r="I23" s="82" t="s">
        <v>200</v>
      </c>
    </row>
    <row r="24" spans="2:9" ht="20.25" thickBot="1">
      <c r="B24" s="79"/>
      <c r="C24" s="80"/>
      <c r="D24" s="80">
        <v>50000000</v>
      </c>
      <c r="E24" s="81" t="s">
        <v>178</v>
      </c>
      <c r="F24" s="80"/>
      <c r="G24" s="80"/>
      <c r="H24" s="122">
        <v>3000000</v>
      </c>
      <c r="I24" s="123" t="s">
        <v>199</v>
      </c>
    </row>
    <row r="25" spans="2:9" ht="20.25" thickBot="1">
      <c r="B25" s="79"/>
      <c r="C25" s="80"/>
      <c r="D25" s="83">
        <v>150000000</v>
      </c>
      <c r="E25" s="81" t="s">
        <v>179</v>
      </c>
      <c r="F25" s="80"/>
      <c r="G25" s="83">
        <f>H23-H24</f>
        <v>27000000</v>
      </c>
      <c r="H25" s="80"/>
      <c r="I25" s="82"/>
    </row>
    <row r="26" spans="2:9" ht="20.25" thickBot="1">
      <c r="B26" s="79"/>
      <c r="C26" s="80"/>
      <c r="D26" s="80">
        <f>D25+D24</f>
        <v>200000000</v>
      </c>
      <c r="E26" s="81" t="s">
        <v>184</v>
      </c>
      <c r="F26" s="85">
        <f>G25+G22+G19</f>
        <v>114000000</v>
      </c>
      <c r="G26" s="80"/>
      <c r="H26" s="80"/>
      <c r="I26" s="82" t="s">
        <v>204</v>
      </c>
    </row>
    <row r="27" spans="2:9" ht="19.5">
      <c r="B27" s="79"/>
      <c r="C27" s="80"/>
      <c r="D27" s="80">
        <v>20000000</v>
      </c>
      <c r="E27" s="81" t="s">
        <v>180</v>
      </c>
      <c r="F27" s="80"/>
      <c r="G27" s="80"/>
      <c r="H27" s="80"/>
      <c r="I27" s="82"/>
    </row>
    <row r="28" spans="2:9" ht="19.5">
      <c r="B28" s="79"/>
      <c r="C28" s="80"/>
      <c r="D28" s="80">
        <v>20000000</v>
      </c>
      <c r="E28" s="81" t="s">
        <v>181</v>
      </c>
      <c r="F28" s="80"/>
      <c r="G28" s="80"/>
      <c r="H28" s="80"/>
      <c r="I28" s="82"/>
    </row>
    <row r="29" spans="2:9" ht="20.25" thickBot="1">
      <c r="B29" s="79"/>
      <c r="C29" s="80"/>
      <c r="D29" s="83">
        <v>11000000</v>
      </c>
      <c r="E29" s="81" t="s">
        <v>182</v>
      </c>
      <c r="F29" s="80"/>
      <c r="G29" s="80"/>
      <c r="H29" s="80"/>
      <c r="I29" s="82"/>
    </row>
    <row r="30" spans="2:9" ht="19.5">
      <c r="B30" s="79">
        <f>D26+D27+D28+D29</f>
        <v>251000000</v>
      </c>
      <c r="C30" s="80"/>
      <c r="D30" s="80"/>
      <c r="E30" s="81" t="s">
        <v>185</v>
      </c>
      <c r="F30" s="80"/>
      <c r="G30" s="80"/>
      <c r="H30" s="80"/>
      <c r="I30" s="82"/>
    </row>
    <row r="31" spans="2:9" ht="20.25" thickBot="1">
      <c r="B31" s="84"/>
      <c r="C31" s="80"/>
      <c r="D31" s="80"/>
      <c r="E31" s="81"/>
      <c r="F31" s="85"/>
      <c r="G31" s="80"/>
      <c r="H31" s="80"/>
      <c r="I31" s="82"/>
    </row>
    <row r="32" spans="1:9" ht="20.25" thickBot="1">
      <c r="A32" s="5"/>
      <c r="B32" s="86">
        <f>B30+B20</f>
        <v>361830000</v>
      </c>
      <c r="C32" s="80"/>
      <c r="D32" s="80"/>
      <c r="E32" s="81" t="s">
        <v>183</v>
      </c>
      <c r="F32" s="87">
        <f>F26+F17</f>
        <v>361830000</v>
      </c>
      <c r="G32" s="80"/>
      <c r="H32" s="80"/>
      <c r="I32" s="82" t="s">
        <v>201</v>
      </c>
    </row>
    <row r="33" spans="1:9" ht="21" thickBot="1" thickTop="1">
      <c r="A33" s="5"/>
      <c r="B33" s="88"/>
      <c r="C33" s="89"/>
      <c r="D33" s="89"/>
      <c r="E33" s="90"/>
      <c r="F33" s="89"/>
      <c r="G33" s="89"/>
      <c r="H33" s="89"/>
      <c r="I33" s="91"/>
    </row>
    <row r="34" ht="20.25" thickBot="1" thickTop="1"/>
    <row r="35" spans="2:14" ht="20.25" thickBot="1">
      <c r="B35" s="170" t="s">
        <v>19</v>
      </c>
      <c r="C35" s="169"/>
      <c r="D35" s="169"/>
      <c r="E35" s="169"/>
      <c r="F35" s="169"/>
      <c r="G35" s="169"/>
      <c r="H35" s="171"/>
      <c r="K35" s="5"/>
      <c r="L35" s="5"/>
      <c r="M35" s="5"/>
      <c r="N35" s="5"/>
    </row>
    <row r="36" spans="2:14" ht="19.5" thickBot="1">
      <c r="B36" s="172" t="s">
        <v>13</v>
      </c>
      <c r="C36" s="173"/>
      <c r="D36" s="174" t="s">
        <v>14</v>
      </c>
      <c r="E36" s="175"/>
      <c r="F36" s="176" t="s">
        <v>15</v>
      </c>
      <c r="G36" s="177"/>
      <c r="H36" s="37" t="s">
        <v>0</v>
      </c>
      <c r="K36" s="5"/>
      <c r="L36" s="5"/>
      <c r="M36" s="5"/>
      <c r="N36" s="5"/>
    </row>
    <row r="37" spans="2:14" ht="19.5" thickBot="1">
      <c r="B37" s="2" t="s">
        <v>7</v>
      </c>
      <c r="C37" s="2" t="s">
        <v>6</v>
      </c>
      <c r="D37" s="2" t="s">
        <v>7</v>
      </c>
      <c r="E37" s="2" t="s">
        <v>6</v>
      </c>
      <c r="F37" s="2" t="s">
        <v>7</v>
      </c>
      <c r="G37" s="2" t="s">
        <v>6</v>
      </c>
      <c r="H37" s="38" t="s">
        <v>1</v>
      </c>
      <c r="J37" s="5"/>
      <c r="K37" s="5"/>
      <c r="L37" s="5"/>
      <c r="M37" s="5"/>
      <c r="N37" s="5"/>
    </row>
    <row r="38" spans="2:14" ht="20.25" thickBot="1">
      <c r="B38" s="16">
        <v>20000</v>
      </c>
      <c r="C38" s="16">
        <v>7000</v>
      </c>
      <c r="D38" s="16">
        <v>24000</v>
      </c>
      <c r="E38" s="16">
        <v>5000</v>
      </c>
      <c r="F38" s="16">
        <v>21000</v>
      </c>
      <c r="G38" s="16">
        <v>10000</v>
      </c>
      <c r="H38" s="100" t="s">
        <v>2</v>
      </c>
      <c r="J38" s="5"/>
      <c r="K38" s="5"/>
      <c r="L38" s="5"/>
      <c r="M38" s="5"/>
      <c r="N38" s="5"/>
    </row>
    <row r="39" spans="2:14" ht="20.25" thickBot="1">
      <c r="B39" s="16">
        <v>20000</v>
      </c>
      <c r="C39" s="16">
        <v>5600</v>
      </c>
      <c r="D39" s="16">
        <v>24000</v>
      </c>
      <c r="E39" s="16">
        <v>4000</v>
      </c>
      <c r="F39" s="16">
        <v>21000</v>
      </c>
      <c r="G39" s="16">
        <v>8000</v>
      </c>
      <c r="H39" s="100" t="s">
        <v>3</v>
      </c>
      <c r="J39" s="5"/>
      <c r="K39" s="5"/>
      <c r="L39" s="5"/>
      <c r="M39" s="5"/>
      <c r="N39" s="5"/>
    </row>
    <row r="40" spans="2:12" ht="18.75">
      <c r="B40" s="5"/>
      <c r="C40" s="5"/>
      <c r="D40" s="5"/>
      <c r="E40" s="5"/>
      <c r="F40" s="5"/>
      <c r="G40" s="5"/>
      <c r="I40" s="5"/>
      <c r="J40" s="5"/>
      <c r="K40" s="5"/>
      <c r="L40" s="5"/>
    </row>
    <row r="41" spans="2:7" ht="18.75">
      <c r="B41" s="5"/>
      <c r="C41" s="5"/>
      <c r="D41" s="5"/>
      <c r="E41" s="5"/>
      <c r="F41" s="5"/>
      <c r="G41" s="5"/>
    </row>
    <row r="42" spans="2:7" ht="19.5" thickBot="1">
      <c r="B42" s="5"/>
      <c r="C42" s="5"/>
      <c r="D42" s="5"/>
      <c r="E42" s="5"/>
      <c r="F42" s="5"/>
      <c r="G42" s="5"/>
    </row>
    <row r="43" spans="2:8" ht="20.25" thickBot="1">
      <c r="B43" s="170" t="s">
        <v>53</v>
      </c>
      <c r="C43" s="169"/>
      <c r="D43" s="169"/>
      <c r="E43" s="169"/>
      <c r="F43" s="169"/>
      <c r="G43" s="169"/>
      <c r="H43" s="171"/>
    </row>
    <row r="44" spans="2:8" ht="18.75" customHeight="1" thickBot="1">
      <c r="B44" s="172" t="s">
        <v>13</v>
      </c>
      <c r="C44" s="173"/>
      <c r="D44" s="174" t="s">
        <v>14</v>
      </c>
      <c r="E44" s="175"/>
      <c r="F44" s="176" t="s">
        <v>15</v>
      </c>
      <c r="G44" s="177"/>
      <c r="H44" s="37" t="s">
        <v>0</v>
      </c>
    </row>
    <row r="45" spans="2:11" ht="18.75" customHeight="1" thickBot="1">
      <c r="B45" s="2" t="s">
        <v>7</v>
      </c>
      <c r="C45" s="2" t="s">
        <v>6</v>
      </c>
      <c r="D45" s="2" t="s">
        <v>7</v>
      </c>
      <c r="E45" s="2" t="s">
        <v>6</v>
      </c>
      <c r="F45" s="2" t="s">
        <v>7</v>
      </c>
      <c r="G45" s="2" t="s">
        <v>6</v>
      </c>
      <c r="H45" s="38" t="s">
        <v>55</v>
      </c>
      <c r="K45" s="5"/>
    </row>
    <row r="46" spans="2:8" ht="20.25" thickBot="1">
      <c r="B46" s="16">
        <v>19000</v>
      </c>
      <c r="C46" s="16">
        <v>1150</v>
      </c>
      <c r="D46" s="16">
        <v>20000</v>
      </c>
      <c r="E46" s="16">
        <v>1250</v>
      </c>
      <c r="F46" s="16">
        <v>18500</v>
      </c>
      <c r="G46" s="16">
        <v>1700</v>
      </c>
      <c r="H46" s="100" t="s">
        <v>54</v>
      </c>
    </row>
    <row r="47" spans="1:8" ht="19.5" thickBot="1">
      <c r="A47" s="5"/>
      <c r="B47" s="167" t="s">
        <v>59</v>
      </c>
      <c r="C47" s="168"/>
      <c r="D47" s="165" t="s">
        <v>58</v>
      </c>
      <c r="E47" s="166"/>
      <c r="F47" s="163" t="s">
        <v>57</v>
      </c>
      <c r="G47" s="164"/>
      <c r="H47" s="37" t="s">
        <v>56</v>
      </c>
    </row>
    <row r="48" spans="1:8" ht="19.5" thickBot="1">
      <c r="A48" s="5"/>
      <c r="B48" s="2" t="s">
        <v>63</v>
      </c>
      <c r="C48" s="2" t="s">
        <v>6</v>
      </c>
      <c r="D48" s="2" t="s">
        <v>63</v>
      </c>
      <c r="E48" s="2" t="s">
        <v>6</v>
      </c>
      <c r="F48" s="2" t="s">
        <v>63</v>
      </c>
      <c r="G48" s="2" t="s">
        <v>6</v>
      </c>
      <c r="H48" s="37" t="s">
        <v>55</v>
      </c>
    </row>
    <row r="49" spans="1:8" ht="20.25" thickBot="1">
      <c r="A49" s="5"/>
      <c r="B49" s="16">
        <v>50</v>
      </c>
      <c r="C49" s="16">
        <v>11000</v>
      </c>
      <c r="D49" s="16">
        <v>30</v>
      </c>
      <c r="E49" s="16">
        <v>9000</v>
      </c>
      <c r="F49" s="16">
        <v>20</v>
      </c>
      <c r="G49" s="16">
        <v>5000</v>
      </c>
      <c r="H49" s="100" t="s">
        <v>60</v>
      </c>
    </row>
    <row r="50" spans="6:9" ht="19.5" thickBot="1">
      <c r="F50" s="5"/>
      <c r="G50" s="5"/>
      <c r="I50" s="1"/>
    </row>
    <row r="51" spans="3:9" ht="24" thickBot="1" thickTop="1">
      <c r="C51" s="7"/>
      <c r="D51" s="154" t="s">
        <v>39</v>
      </c>
      <c r="E51" s="155"/>
      <c r="F51" s="155"/>
      <c r="G51" s="155"/>
      <c r="H51" s="156"/>
      <c r="I51" s="1"/>
    </row>
    <row r="52" spans="4:9" ht="20.25" thickBot="1" thickTop="1">
      <c r="D52" s="117" t="s">
        <v>47</v>
      </c>
      <c r="E52" s="116" t="s">
        <v>46</v>
      </c>
      <c r="F52" s="115" t="s">
        <v>45</v>
      </c>
      <c r="G52" s="118" t="s">
        <v>40</v>
      </c>
      <c r="H52" s="114" t="s">
        <v>163</v>
      </c>
      <c r="I52" s="1"/>
    </row>
    <row r="53" spans="4:8" ht="21" thickBot="1">
      <c r="D53" s="9" t="s">
        <v>51</v>
      </c>
      <c r="E53" s="9">
        <v>3</v>
      </c>
      <c r="F53" s="9">
        <v>5</v>
      </c>
      <c r="G53" s="119" t="s">
        <v>48</v>
      </c>
      <c r="H53" s="100" t="s">
        <v>42</v>
      </c>
    </row>
    <row r="54" spans="4:8" ht="26.25" thickBot="1">
      <c r="D54" s="10">
        <v>2</v>
      </c>
      <c r="E54" s="9">
        <v>5</v>
      </c>
      <c r="F54" s="10">
        <v>4</v>
      </c>
      <c r="G54" s="119" t="s">
        <v>49</v>
      </c>
      <c r="H54" s="100" t="s">
        <v>43</v>
      </c>
    </row>
    <row r="55" spans="4:8" ht="26.25" thickBot="1">
      <c r="D55" s="10">
        <v>6</v>
      </c>
      <c r="E55" s="9">
        <v>3</v>
      </c>
      <c r="F55" s="10" t="s">
        <v>51</v>
      </c>
      <c r="G55" s="119" t="s">
        <v>50</v>
      </c>
      <c r="H55" s="100" t="s">
        <v>44</v>
      </c>
    </row>
    <row r="56" spans="4:8" ht="26.25" thickBot="1">
      <c r="D56" s="11">
        <v>4</v>
      </c>
      <c r="E56" s="12">
        <v>3</v>
      </c>
      <c r="F56" s="11">
        <v>2</v>
      </c>
      <c r="G56" s="120" t="s">
        <v>52</v>
      </c>
      <c r="H56" s="102" t="s">
        <v>41</v>
      </c>
    </row>
    <row r="57" spans="4:8" ht="20.25" thickBot="1" thickTop="1">
      <c r="D57" s="8">
        <v>70</v>
      </c>
      <c r="E57" s="8">
        <v>30</v>
      </c>
      <c r="F57" s="8">
        <v>40</v>
      </c>
      <c r="G57" s="101" t="s">
        <v>69</v>
      </c>
      <c r="H57" s="103" t="s">
        <v>68</v>
      </c>
    </row>
    <row r="58" spans="3:8" ht="21" thickBot="1" thickTop="1">
      <c r="C58" s="13"/>
      <c r="D58" s="169" t="s">
        <v>73</v>
      </c>
      <c r="E58" s="169"/>
      <c r="F58" s="169"/>
      <c r="G58" s="169"/>
      <c r="H58" s="104"/>
    </row>
    <row r="59" spans="4:8" ht="21" thickBot="1" thickTop="1">
      <c r="D59" s="14">
        <v>10</v>
      </c>
      <c r="E59" s="15"/>
      <c r="F59" s="15"/>
      <c r="G59" s="15"/>
      <c r="H59" s="113" t="s">
        <v>74</v>
      </c>
    </row>
    <row r="60" spans="4:8" ht="21" thickBot="1" thickTop="1">
      <c r="D60" s="14">
        <v>20</v>
      </c>
      <c r="E60" s="15"/>
      <c r="F60" s="15"/>
      <c r="G60" s="15"/>
      <c r="H60" s="113" t="s">
        <v>75</v>
      </c>
    </row>
    <row r="61" spans="4:8" ht="21" thickBot="1" thickTop="1">
      <c r="D61" s="14">
        <v>15</v>
      </c>
      <c r="E61" s="15"/>
      <c r="F61" s="15"/>
      <c r="G61" s="15"/>
      <c r="H61" s="113" t="s">
        <v>77</v>
      </c>
    </row>
    <row r="62" spans="4:8" ht="21" thickBot="1" thickTop="1">
      <c r="D62" s="14">
        <v>40</v>
      </c>
      <c r="E62" s="15"/>
      <c r="F62" s="15"/>
      <c r="G62" s="15"/>
      <c r="H62" s="113" t="s">
        <v>76</v>
      </c>
    </row>
    <row r="63" spans="4:8" ht="21" thickBot="1" thickTop="1">
      <c r="D63" s="14">
        <v>50</v>
      </c>
      <c r="E63" s="15"/>
      <c r="F63" s="15"/>
      <c r="G63" s="15"/>
      <c r="H63" s="113" t="s">
        <v>78</v>
      </c>
    </row>
    <row r="64" spans="4:8" ht="20.25" thickBot="1" thickTop="1">
      <c r="D64" s="14">
        <f>SUM(D59:D63)</f>
        <v>135</v>
      </c>
      <c r="E64" s="15"/>
      <c r="F64" s="15"/>
      <c r="G64" s="15"/>
      <c r="H64" s="103" t="s">
        <v>79</v>
      </c>
    </row>
    <row r="65" spans="4:8" ht="20.25" thickBot="1" thickTop="1">
      <c r="D65" s="5"/>
      <c r="E65" s="5"/>
      <c r="F65" s="5"/>
      <c r="G65" s="5"/>
      <c r="H65" s="5"/>
    </row>
    <row r="66" spans="4:5" ht="20.25" thickBot="1">
      <c r="D66" s="152" t="s">
        <v>86</v>
      </c>
      <c r="E66" s="153"/>
    </row>
    <row r="67" spans="4:5" ht="20.25" thickBot="1" thickTop="1">
      <c r="D67" s="105" t="s">
        <v>80</v>
      </c>
      <c r="E67" s="112" t="s">
        <v>163</v>
      </c>
    </row>
    <row r="68" spans="4:5" ht="20.25" thickBot="1">
      <c r="D68" s="16">
        <v>1800000</v>
      </c>
      <c r="E68" s="45" t="s">
        <v>81</v>
      </c>
    </row>
    <row r="69" spans="4:5" ht="20.25" thickBot="1">
      <c r="D69" s="16">
        <v>6000000</v>
      </c>
      <c r="E69" s="45" t="s">
        <v>82</v>
      </c>
    </row>
    <row r="70" spans="4:5" ht="20.25" thickBot="1">
      <c r="D70" s="16">
        <v>580000</v>
      </c>
      <c r="E70" s="45" t="s">
        <v>83</v>
      </c>
    </row>
    <row r="71" spans="4:5" ht="20.25" thickBot="1">
      <c r="D71" s="16">
        <v>180000</v>
      </c>
      <c r="E71" s="45" t="s">
        <v>84</v>
      </c>
    </row>
    <row r="72" spans="4:5" ht="20.25" thickBot="1">
      <c r="D72" s="16">
        <v>120000</v>
      </c>
      <c r="E72" s="45" t="s">
        <v>85</v>
      </c>
    </row>
    <row r="73" spans="4:5" ht="19.5" thickBot="1">
      <c r="D73" s="16">
        <f>SUM(D68:D72)</f>
        <v>8680000</v>
      </c>
      <c r="E73" s="37" t="s">
        <v>79</v>
      </c>
    </row>
    <row r="74" ht="19.5" thickBot="1"/>
    <row r="75" spans="1:5" ht="18.75">
      <c r="A75" s="5"/>
      <c r="B75" s="152" t="s">
        <v>125</v>
      </c>
      <c r="C75" s="157"/>
      <c r="D75" s="157"/>
      <c r="E75" s="153"/>
    </row>
    <row r="76" spans="1:5" ht="19.5" thickBot="1">
      <c r="A76" s="5"/>
      <c r="B76" s="158"/>
      <c r="C76" s="159"/>
      <c r="D76" s="159"/>
      <c r="E76" s="160"/>
    </row>
    <row r="77" spans="1:5" ht="19.5" thickBot="1">
      <c r="A77" s="17"/>
      <c r="B77" s="37" t="s">
        <v>114</v>
      </c>
      <c r="C77" s="106" t="s">
        <v>113</v>
      </c>
      <c r="D77" s="141" t="s">
        <v>115</v>
      </c>
      <c r="E77" s="143"/>
    </row>
    <row r="78" spans="1:5" ht="18.75">
      <c r="A78" s="17"/>
      <c r="B78" s="29"/>
      <c r="C78" s="30"/>
      <c r="D78" s="161" t="s">
        <v>126</v>
      </c>
      <c r="E78" s="162"/>
    </row>
    <row r="79" spans="1:5" ht="19.5">
      <c r="A79" s="17"/>
      <c r="B79" s="34"/>
      <c r="C79" s="108">
        <v>300000</v>
      </c>
      <c r="D79" s="145" t="s">
        <v>120</v>
      </c>
      <c r="E79" s="146"/>
    </row>
    <row r="80" spans="1:5" ht="19.5">
      <c r="A80" s="17"/>
      <c r="B80" s="34"/>
      <c r="C80" s="108">
        <v>125000</v>
      </c>
      <c r="D80" s="145" t="s">
        <v>116</v>
      </c>
      <c r="E80" s="146"/>
    </row>
    <row r="81" spans="1:5" ht="19.5">
      <c r="A81" s="17"/>
      <c r="B81" s="34"/>
      <c r="C81" s="108">
        <v>7000000</v>
      </c>
      <c r="D81" s="145" t="s">
        <v>117</v>
      </c>
      <c r="E81" s="146"/>
    </row>
    <row r="82" spans="1:5" ht="19.5">
      <c r="A82" s="17"/>
      <c r="B82" s="34"/>
      <c r="C82" s="109">
        <v>0.08</v>
      </c>
      <c r="D82" s="145" t="s">
        <v>141</v>
      </c>
      <c r="E82" s="146"/>
    </row>
    <row r="83" spans="1:5" ht="19.5">
      <c r="A83" s="17"/>
      <c r="B83" s="34"/>
      <c r="C83" s="108">
        <v>800000</v>
      </c>
      <c r="D83" s="145" t="s">
        <v>118</v>
      </c>
      <c r="E83" s="146"/>
    </row>
    <row r="84" spans="1:5" ht="19.5">
      <c r="A84" s="17"/>
      <c r="B84" s="34"/>
      <c r="C84" s="108">
        <v>1250000</v>
      </c>
      <c r="D84" s="145" t="s">
        <v>119</v>
      </c>
      <c r="E84" s="146"/>
    </row>
    <row r="85" spans="1:5" ht="20.25" thickBot="1">
      <c r="A85" s="17"/>
      <c r="B85" s="31"/>
      <c r="C85" s="121">
        <v>900000</v>
      </c>
      <c r="D85" s="150" t="s">
        <v>121</v>
      </c>
      <c r="E85" s="151"/>
    </row>
    <row r="86" spans="1:5" ht="18.75">
      <c r="A86" s="17"/>
      <c r="B86" s="34"/>
      <c r="C86" s="35"/>
      <c r="D86" s="148" t="s">
        <v>127</v>
      </c>
      <c r="E86" s="149"/>
    </row>
    <row r="87" spans="1:5" ht="19.5">
      <c r="A87" s="17"/>
      <c r="B87" s="110">
        <v>0.05</v>
      </c>
      <c r="C87" s="35"/>
      <c r="D87" s="145" t="s">
        <v>140</v>
      </c>
      <c r="E87" s="146"/>
    </row>
    <row r="88" spans="1:5" ht="19.5">
      <c r="A88" s="17"/>
      <c r="B88" s="34">
        <v>125000</v>
      </c>
      <c r="C88" s="35"/>
      <c r="D88" s="145" t="s">
        <v>123</v>
      </c>
      <c r="E88" s="146"/>
    </row>
    <row r="89" spans="1:5" ht="19.5">
      <c r="A89" s="17"/>
      <c r="B89" s="34">
        <v>1250000</v>
      </c>
      <c r="C89" s="35"/>
      <c r="D89" s="145" t="s">
        <v>124</v>
      </c>
      <c r="E89" s="146"/>
    </row>
    <row r="90" spans="1:5" ht="19.5">
      <c r="A90" s="17"/>
      <c r="B90" s="34">
        <v>3000000</v>
      </c>
      <c r="C90" s="35"/>
      <c r="D90" s="145" t="s">
        <v>202</v>
      </c>
      <c r="E90" s="146"/>
    </row>
    <row r="91" spans="1:5" ht="19.5">
      <c r="A91" s="17"/>
      <c r="B91" s="34">
        <v>400000</v>
      </c>
      <c r="C91" s="35"/>
      <c r="D91" s="145" t="s">
        <v>128</v>
      </c>
      <c r="E91" s="146"/>
    </row>
    <row r="92" spans="1:5" ht="19.5">
      <c r="A92" s="17"/>
      <c r="B92" s="110">
        <v>0.2</v>
      </c>
      <c r="C92" s="35"/>
      <c r="D92" s="145" t="s">
        <v>142</v>
      </c>
      <c r="E92" s="146"/>
    </row>
    <row r="93" spans="1:5" ht="20.25" thickBot="1">
      <c r="A93" s="17"/>
      <c r="B93" s="111">
        <v>25</v>
      </c>
      <c r="C93" s="32"/>
      <c r="D93" s="150" t="s">
        <v>143</v>
      </c>
      <c r="E93" s="151"/>
    </row>
    <row r="94" ht="19.5" thickBot="1"/>
    <row r="95" spans="2:5" ht="20.25" thickBot="1">
      <c r="B95" s="147" t="s">
        <v>133</v>
      </c>
      <c r="C95" s="147"/>
      <c r="D95" s="147"/>
      <c r="E95" s="147"/>
    </row>
    <row r="96" spans="2:5" ht="19.5" customHeight="1" thickBot="1">
      <c r="B96" s="47" t="s">
        <v>3</v>
      </c>
      <c r="C96" s="47" t="s">
        <v>135</v>
      </c>
      <c r="D96" s="144"/>
      <c r="E96" s="144"/>
    </row>
    <row r="97" spans="2:5" ht="19.5" customHeight="1" thickBot="1">
      <c r="B97" s="16">
        <v>330000000</v>
      </c>
      <c r="C97" s="16">
        <v>180000000</v>
      </c>
      <c r="D97" s="144" t="s">
        <v>134</v>
      </c>
      <c r="E97" s="144"/>
    </row>
    <row r="98" spans="2:5" ht="20.25" thickBot="1">
      <c r="B98" s="16"/>
      <c r="C98" s="16"/>
      <c r="D98" s="144" t="s">
        <v>136</v>
      </c>
      <c r="E98" s="144"/>
    </row>
    <row r="99" spans="2:5" ht="20.25" thickBot="1">
      <c r="B99" s="6"/>
      <c r="C99" s="107">
        <v>0.7</v>
      </c>
      <c r="D99" s="144" t="s">
        <v>137</v>
      </c>
      <c r="E99" s="144"/>
    </row>
    <row r="100" spans="2:5" ht="20.25" thickBot="1">
      <c r="B100" s="6"/>
      <c r="C100" s="107">
        <v>0.2</v>
      </c>
      <c r="D100" s="144" t="s">
        <v>138</v>
      </c>
      <c r="E100" s="144"/>
    </row>
    <row r="101" spans="2:5" ht="20.25" thickBot="1">
      <c r="B101" s="6"/>
      <c r="C101" s="107">
        <v>0.1</v>
      </c>
      <c r="D101" s="144" t="s">
        <v>139</v>
      </c>
      <c r="E101" s="144"/>
    </row>
    <row r="102" spans="2:5" ht="20.25" thickBot="1">
      <c r="B102" s="6"/>
      <c r="C102" s="16">
        <v>300000000</v>
      </c>
      <c r="D102" s="144" t="s">
        <v>237</v>
      </c>
      <c r="E102" s="144"/>
    </row>
    <row r="103" ht="19.5" thickBot="1"/>
    <row r="104" spans="2:4" ht="19.5" thickBot="1">
      <c r="B104" s="141" t="s">
        <v>279</v>
      </c>
      <c r="C104" s="142"/>
      <c r="D104" s="143"/>
    </row>
    <row r="105" spans="1:4" ht="21" thickBot="1">
      <c r="A105" s="17"/>
      <c r="B105" s="137" t="s">
        <v>8</v>
      </c>
      <c r="C105" s="138"/>
      <c r="D105" s="139" t="s">
        <v>155</v>
      </c>
    </row>
    <row r="106" spans="2:4" ht="21" thickBot="1">
      <c r="B106" s="42" t="s">
        <v>10</v>
      </c>
      <c r="C106" s="49" t="s">
        <v>156</v>
      </c>
      <c r="D106" s="140"/>
    </row>
    <row r="107" spans="2:4" ht="21" thickBot="1">
      <c r="B107" s="16"/>
      <c r="C107" s="16">
        <v>34000000</v>
      </c>
      <c r="D107" s="71" t="s">
        <v>158</v>
      </c>
    </row>
    <row r="108" spans="2:4" ht="21" thickBot="1">
      <c r="B108" s="16"/>
      <c r="C108" s="16">
        <v>77000000</v>
      </c>
      <c r="D108" s="71" t="s">
        <v>159</v>
      </c>
    </row>
    <row r="109" spans="2:4" ht="21" thickBot="1">
      <c r="B109" s="16">
        <v>60000000</v>
      </c>
      <c r="C109" s="16">
        <v>60000000</v>
      </c>
      <c r="D109" s="71" t="s">
        <v>160</v>
      </c>
    </row>
    <row r="110" spans="2:4" ht="21" thickBot="1">
      <c r="B110" s="16">
        <v>22000000</v>
      </c>
      <c r="C110" s="16">
        <v>22000000</v>
      </c>
      <c r="D110" s="72" t="s">
        <v>161</v>
      </c>
    </row>
    <row r="111" spans="2:4" ht="21" thickBot="1">
      <c r="B111" s="64">
        <f>B110+B109+B108+B107</f>
        <v>82000000</v>
      </c>
      <c r="C111" s="64">
        <f>C110+C109+C108+C107</f>
        <v>193000000</v>
      </c>
      <c r="D111" s="57" t="s">
        <v>162</v>
      </c>
    </row>
    <row r="112" ht="19.5" thickTop="1"/>
  </sheetData>
  <sheetProtection/>
  <mergeCells count="49">
    <mergeCell ref="D36:E36"/>
    <mergeCell ref="B36:C36"/>
    <mergeCell ref="B2:I2"/>
    <mergeCell ref="B3:I3"/>
    <mergeCell ref="B4:I4"/>
    <mergeCell ref="B22:E22"/>
    <mergeCell ref="B5:E5"/>
    <mergeCell ref="F5:I5"/>
    <mergeCell ref="F47:G47"/>
    <mergeCell ref="D47:E47"/>
    <mergeCell ref="B47:C47"/>
    <mergeCell ref="D58:G58"/>
    <mergeCell ref="B35:H35"/>
    <mergeCell ref="B44:C44"/>
    <mergeCell ref="D44:E44"/>
    <mergeCell ref="F44:G44"/>
    <mergeCell ref="B43:H43"/>
    <mergeCell ref="F36:G36"/>
    <mergeCell ref="D66:E66"/>
    <mergeCell ref="D51:H51"/>
    <mergeCell ref="B75:E76"/>
    <mergeCell ref="D84:E84"/>
    <mergeCell ref="D83:E83"/>
    <mergeCell ref="D82:E82"/>
    <mergeCell ref="D77:E77"/>
    <mergeCell ref="D78:E78"/>
    <mergeCell ref="D81:E81"/>
    <mergeCell ref="D80:E80"/>
    <mergeCell ref="D97:E97"/>
    <mergeCell ref="D96:E96"/>
    <mergeCell ref="D93:E93"/>
    <mergeCell ref="D90:E90"/>
    <mergeCell ref="D92:E92"/>
    <mergeCell ref="D91:E91"/>
    <mergeCell ref="D79:E79"/>
    <mergeCell ref="B95:E95"/>
    <mergeCell ref="D89:E89"/>
    <mergeCell ref="D88:E88"/>
    <mergeCell ref="D87:E87"/>
    <mergeCell ref="D86:E86"/>
    <mergeCell ref="D85:E85"/>
    <mergeCell ref="B105:C105"/>
    <mergeCell ref="D105:D106"/>
    <mergeCell ref="B104:D104"/>
    <mergeCell ref="D98:E98"/>
    <mergeCell ref="D102:E102"/>
    <mergeCell ref="D99:E99"/>
    <mergeCell ref="D100:E100"/>
    <mergeCell ref="D101:E10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K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3.00390625" style="1" customWidth="1"/>
    <col min="4" max="4" width="9.140625" style="1" customWidth="1"/>
    <col min="5" max="5" width="11.28125" style="1" bestFit="1" customWidth="1"/>
    <col min="6" max="6" width="9.140625" style="1" customWidth="1"/>
    <col min="7" max="7" width="12.2812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ht="12.75"/>
    <row r="2" ht="12.75"/>
    <row r="3" ht="12.75"/>
    <row r="4" ht="12.75"/>
    <row r="5" ht="13.5" thickBot="1"/>
    <row r="6" spans="2:9" ht="20.25">
      <c r="B6" s="191" t="s">
        <v>282</v>
      </c>
      <c r="C6" s="192"/>
      <c r="D6" s="192"/>
      <c r="E6" s="192"/>
      <c r="F6" s="192"/>
      <c r="G6" s="192"/>
      <c r="H6" s="192"/>
      <c r="I6" s="193"/>
    </row>
    <row r="7" spans="2:9" ht="20.25">
      <c r="B7" s="203" t="s">
        <v>20</v>
      </c>
      <c r="C7" s="204"/>
      <c r="D7" s="204"/>
      <c r="E7" s="204"/>
      <c r="F7" s="204"/>
      <c r="G7" s="204"/>
      <c r="H7" s="204"/>
      <c r="I7" s="205"/>
    </row>
    <row r="8" spans="2:9" ht="21" thickBot="1">
      <c r="B8" s="188" t="s">
        <v>132</v>
      </c>
      <c r="C8" s="189"/>
      <c r="D8" s="189"/>
      <c r="E8" s="189"/>
      <c r="F8" s="189"/>
      <c r="G8" s="189"/>
      <c r="H8" s="189"/>
      <c r="I8" s="190"/>
    </row>
    <row r="9" spans="2:9" ht="13.5" thickBot="1">
      <c r="B9" s="209" t="s">
        <v>18</v>
      </c>
      <c r="C9" s="206" t="s">
        <v>13</v>
      </c>
      <c r="D9" s="206"/>
      <c r="E9" s="207" t="s">
        <v>14</v>
      </c>
      <c r="F9" s="208"/>
      <c r="G9" s="176" t="s">
        <v>15</v>
      </c>
      <c r="H9" s="177"/>
      <c r="I9" s="37" t="s">
        <v>0</v>
      </c>
    </row>
    <row r="10" spans="2:9" ht="13.5" thickBot="1">
      <c r="B10" s="209"/>
      <c r="C10" s="48" t="s">
        <v>17</v>
      </c>
      <c r="D10" s="48" t="s">
        <v>6</v>
      </c>
      <c r="E10" s="48" t="s">
        <v>17</v>
      </c>
      <c r="F10" s="48" t="s">
        <v>6</v>
      </c>
      <c r="G10" s="48" t="s">
        <v>17</v>
      </c>
      <c r="H10" s="48" t="s">
        <v>6</v>
      </c>
      <c r="I10" s="38" t="s">
        <v>1</v>
      </c>
    </row>
    <row r="11" spans="2:9" ht="13.5" thickBot="1">
      <c r="B11" s="16">
        <f>G11+E11+C11</f>
        <v>470000000</v>
      </c>
      <c r="C11" s="16">
        <f>'داده ها'!C38*'داده ها'!B38</f>
        <v>140000000</v>
      </c>
      <c r="D11" s="16">
        <v>7000</v>
      </c>
      <c r="E11" s="16">
        <f>'داده ها'!E38*'داده ها'!D38</f>
        <v>120000000</v>
      </c>
      <c r="F11" s="16">
        <v>5000</v>
      </c>
      <c r="G11" s="16">
        <f>'داده ها'!G38*'داده ها'!F38</f>
        <v>210000000</v>
      </c>
      <c r="H11" s="33">
        <v>10000</v>
      </c>
      <c r="I11" s="45" t="s">
        <v>2</v>
      </c>
    </row>
    <row r="12" spans="2:9" ht="13.5" thickBot="1">
      <c r="B12" s="31">
        <f>G12+E12+C12</f>
        <v>376000000</v>
      </c>
      <c r="C12" s="31">
        <f>'داده ها'!C39*'داده ها'!B39</f>
        <v>112000000</v>
      </c>
      <c r="D12" s="31">
        <v>5600</v>
      </c>
      <c r="E12" s="31">
        <f>'داده ها'!E39*'داده ها'!D39</f>
        <v>96000000</v>
      </c>
      <c r="F12" s="31">
        <v>4000</v>
      </c>
      <c r="G12" s="31">
        <f>'داده ها'!G39*'داده ها'!F39</f>
        <v>168000000</v>
      </c>
      <c r="H12" s="32">
        <v>8000</v>
      </c>
      <c r="I12" s="45" t="s">
        <v>3</v>
      </c>
    </row>
    <row r="13" ht="12.75"/>
    <row r="14" ht="12.75"/>
    <row r="15" ht="13.5" thickBot="1"/>
    <row r="16" spans="2:6" ht="20.25">
      <c r="B16" s="191" t="s">
        <v>283</v>
      </c>
      <c r="C16" s="192"/>
      <c r="D16" s="192"/>
      <c r="E16" s="192"/>
      <c r="F16" s="193"/>
    </row>
    <row r="17" spans="2:6" ht="21" thickBot="1">
      <c r="B17" s="188" t="s">
        <v>21</v>
      </c>
      <c r="C17" s="189"/>
      <c r="D17" s="189"/>
      <c r="E17" s="189"/>
      <c r="F17" s="190"/>
    </row>
    <row r="18" spans="2:6" ht="15" thickBot="1">
      <c r="B18" s="196" t="s">
        <v>12</v>
      </c>
      <c r="C18" s="197"/>
      <c r="D18" s="198"/>
      <c r="E18" s="199" t="s">
        <v>16</v>
      </c>
      <c r="F18" s="200"/>
    </row>
    <row r="19" spans="2:6" ht="26.25" thickBot="1">
      <c r="B19" s="40" t="s">
        <v>5</v>
      </c>
      <c r="C19" s="41" t="s">
        <v>4</v>
      </c>
      <c r="D19" s="39" t="s">
        <v>11</v>
      </c>
      <c r="E19" s="201" t="s">
        <v>1</v>
      </c>
      <c r="F19" s="202"/>
    </row>
    <row r="20" spans="2:6" ht="19.5" customHeight="1" thickBot="1">
      <c r="B20" s="31">
        <f>'داده ها'!C39*15%</f>
        <v>840</v>
      </c>
      <c r="C20" s="31">
        <f>'داده ها'!E39*15%</f>
        <v>600</v>
      </c>
      <c r="D20" s="31">
        <f>'داده ها'!G39*15%</f>
        <v>1200</v>
      </c>
      <c r="E20" s="46" t="s">
        <v>9</v>
      </c>
      <c r="F20" s="194" t="s">
        <v>8</v>
      </c>
    </row>
    <row r="21" spans="2:11" ht="24" customHeight="1" thickBot="1">
      <c r="B21" s="31">
        <f>'داده ها'!C38*20%</f>
        <v>1400</v>
      </c>
      <c r="C21" s="31">
        <f>'داده ها'!E38*20%</f>
        <v>1000</v>
      </c>
      <c r="D21" s="31">
        <f>'داده ها'!G38*20%</f>
        <v>2000</v>
      </c>
      <c r="E21" s="46" t="s">
        <v>10</v>
      </c>
      <c r="F21" s="195"/>
      <c r="K21" s="18"/>
    </row>
  </sheetData>
  <sheetProtection/>
  <mergeCells count="13">
    <mergeCell ref="B7:I7"/>
    <mergeCell ref="B6:I6"/>
    <mergeCell ref="C9:D9"/>
    <mergeCell ref="E9:F9"/>
    <mergeCell ref="G9:H9"/>
    <mergeCell ref="B9:B10"/>
    <mergeCell ref="B8:I8"/>
    <mergeCell ref="B17:F17"/>
    <mergeCell ref="B16:F16"/>
    <mergeCell ref="F20:F21"/>
    <mergeCell ref="B18:D18"/>
    <mergeCell ref="E18:F18"/>
    <mergeCell ref="E19:F1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L13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9" width="9.140625" style="19" customWidth="1"/>
    <col min="10" max="10" width="11.57421875" style="19" customWidth="1"/>
    <col min="11" max="11" width="9.140625" style="19" customWidth="1"/>
    <col min="12" max="12" width="20.7109375" style="19" customWidth="1"/>
    <col min="13" max="16384" width="9.140625" style="19" customWidth="1"/>
  </cols>
  <sheetData>
    <row r="3" ht="19.5" customHeight="1" thickBot="1"/>
    <row r="4" spans="2:12" ht="19.5" customHeight="1">
      <c r="B4" s="213" t="s">
        <v>283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2:12" ht="19.5" customHeight="1">
      <c r="B5" s="210" t="s">
        <v>22</v>
      </c>
      <c r="C5" s="211"/>
      <c r="D5" s="211"/>
      <c r="E5" s="211"/>
      <c r="F5" s="211"/>
      <c r="G5" s="211"/>
      <c r="H5" s="211"/>
      <c r="I5" s="211"/>
      <c r="J5" s="211"/>
      <c r="K5" s="211"/>
      <c r="L5" s="212"/>
    </row>
    <row r="6" spans="2:12" ht="19.5" customHeight="1" thickBot="1">
      <c r="B6" s="220" t="s">
        <v>132</v>
      </c>
      <c r="C6" s="221"/>
      <c r="D6" s="221"/>
      <c r="E6" s="221"/>
      <c r="F6" s="221"/>
      <c r="G6" s="221"/>
      <c r="H6" s="221"/>
      <c r="I6" s="221"/>
      <c r="J6" s="221"/>
      <c r="K6" s="221"/>
      <c r="L6" s="222"/>
    </row>
    <row r="7" spans="2:12" ht="19.5" customHeight="1" thickBot="1">
      <c r="B7" s="137" t="s">
        <v>24</v>
      </c>
      <c r="C7" s="223"/>
      <c r="D7" s="138"/>
      <c r="E7" s="137" t="s">
        <v>3</v>
      </c>
      <c r="F7" s="223"/>
      <c r="G7" s="138"/>
      <c r="H7" s="137" t="s">
        <v>2</v>
      </c>
      <c r="I7" s="223"/>
      <c r="J7" s="138"/>
      <c r="K7" s="137" t="s">
        <v>1</v>
      </c>
      <c r="L7" s="138"/>
    </row>
    <row r="8" spans="2:12" ht="19.5" customHeight="1" thickBot="1">
      <c r="B8" s="40" t="s">
        <v>5</v>
      </c>
      <c r="C8" s="41" t="s">
        <v>4</v>
      </c>
      <c r="D8" s="39" t="s">
        <v>11</v>
      </c>
      <c r="E8" s="40" t="s">
        <v>5</v>
      </c>
      <c r="F8" s="41" t="s">
        <v>4</v>
      </c>
      <c r="G8" s="39" t="s">
        <v>11</v>
      </c>
      <c r="H8" s="40" t="s">
        <v>5</v>
      </c>
      <c r="I8" s="41" t="s">
        <v>4</v>
      </c>
      <c r="J8" s="39" t="s">
        <v>11</v>
      </c>
      <c r="K8" s="137" t="s">
        <v>23</v>
      </c>
      <c r="L8" s="138"/>
    </row>
    <row r="9" spans="2:12" ht="19.5" customHeight="1" thickBot="1">
      <c r="B9" s="31">
        <f>H9+E9</f>
        <v>12600</v>
      </c>
      <c r="C9" s="31">
        <f>I9+F9</f>
        <v>9000</v>
      </c>
      <c r="D9" s="31">
        <f>J9+G9</f>
        <v>18000</v>
      </c>
      <c r="E9" s="31">
        <f>'داده ها'!C39</f>
        <v>5600</v>
      </c>
      <c r="F9" s="31">
        <f>'داده ها'!E39</f>
        <v>4000</v>
      </c>
      <c r="G9" s="31">
        <f>'داده ها'!G39</f>
        <v>8000</v>
      </c>
      <c r="H9" s="31">
        <f>'داده ها'!C38</f>
        <v>7000</v>
      </c>
      <c r="I9" s="31">
        <f>'داده ها'!E38</f>
        <v>5000</v>
      </c>
      <c r="J9" s="31">
        <f>'داده ها'!G38</f>
        <v>10000</v>
      </c>
      <c r="K9" s="216" t="s">
        <v>25</v>
      </c>
      <c r="L9" s="217"/>
    </row>
    <row r="10" spans="2:12" ht="19.5" customHeight="1" thickBot="1">
      <c r="B10" s="31">
        <f>E10</f>
        <v>1400</v>
      </c>
      <c r="C10" s="31">
        <f>F10</f>
        <v>1000</v>
      </c>
      <c r="D10" s="31">
        <f>G10</f>
        <v>2000</v>
      </c>
      <c r="E10" s="31">
        <f>'بودجه فروش'!B21</f>
        <v>1400</v>
      </c>
      <c r="F10" s="31">
        <f>'بودجه فروش'!C21</f>
        <v>1000</v>
      </c>
      <c r="G10" s="31">
        <f>'بودجه فروش'!D21</f>
        <v>2000</v>
      </c>
      <c r="H10" s="31">
        <f>'بودجه فروش'!B20</f>
        <v>840</v>
      </c>
      <c r="I10" s="31">
        <f>'بودجه فروش'!C20</f>
        <v>600</v>
      </c>
      <c r="J10" s="31">
        <f>'بودجه فروش'!D20</f>
        <v>1200</v>
      </c>
      <c r="K10" s="224" t="s">
        <v>26</v>
      </c>
      <c r="L10" s="217"/>
    </row>
    <row r="11" spans="2:12" ht="19.5" customHeight="1" thickBot="1">
      <c r="B11" s="31">
        <f aca="true" t="shared" si="0" ref="B11:I11">SUM(B9:B10)</f>
        <v>14000</v>
      </c>
      <c r="C11" s="31">
        <f t="shared" si="0"/>
        <v>10000</v>
      </c>
      <c r="D11" s="31">
        <f t="shared" si="0"/>
        <v>20000</v>
      </c>
      <c r="E11" s="31">
        <f t="shared" si="0"/>
        <v>7000</v>
      </c>
      <c r="F11" s="31">
        <f t="shared" si="0"/>
        <v>5000</v>
      </c>
      <c r="G11" s="31">
        <f t="shared" si="0"/>
        <v>10000</v>
      </c>
      <c r="H11" s="31">
        <f t="shared" si="0"/>
        <v>7840</v>
      </c>
      <c r="I11" s="31">
        <f t="shared" si="0"/>
        <v>5600</v>
      </c>
      <c r="J11" s="31">
        <f>SUM(J9:J10)</f>
        <v>11200</v>
      </c>
      <c r="K11" s="216" t="s">
        <v>27</v>
      </c>
      <c r="L11" s="217"/>
    </row>
    <row r="12" spans="2:12" ht="19.5" customHeight="1" thickBot="1">
      <c r="B12" s="131">
        <f>H12</f>
        <v>1150</v>
      </c>
      <c r="C12" s="131">
        <f>I12</f>
        <v>1250</v>
      </c>
      <c r="D12" s="131">
        <f>J12</f>
        <v>1700</v>
      </c>
      <c r="E12" s="131">
        <f>'بودجه فروش'!B20</f>
        <v>840</v>
      </c>
      <c r="F12" s="131">
        <f>'بودجه فروش'!C20</f>
        <v>600</v>
      </c>
      <c r="G12" s="131">
        <f>'بودجه فروش'!D20</f>
        <v>1200</v>
      </c>
      <c r="H12" s="131">
        <f>'داده ها'!C46</f>
        <v>1150</v>
      </c>
      <c r="I12" s="131">
        <f>'داده ها'!E46</f>
        <v>1250</v>
      </c>
      <c r="J12" s="131">
        <f>'داده ها'!G46</f>
        <v>1700</v>
      </c>
      <c r="K12" s="218" t="s">
        <v>278</v>
      </c>
      <c r="L12" s="219"/>
    </row>
    <row r="13" spans="2:12" ht="19.5" customHeight="1" thickBot="1">
      <c r="B13" s="64">
        <f aca="true" t="shared" si="1" ref="B13:I13">B11-B12</f>
        <v>12850</v>
      </c>
      <c r="C13" s="64">
        <f t="shared" si="1"/>
        <v>8750</v>
      </c>
      <c r="D13" s="64">
        <f t="shared" si="1"/>
        <v>18300</v>
      </c>
      <c r="E13" s="64">
        <f t="shared" si="1"/>
        <v>6160</v>
      </c>
      <c r="F13" s="64">
        <f t="shared" si="1"/>
        <v>4400</v>
      </c>
      <c r="G13" s="64">
        <f t="shared" si="1"/>
        <v>8800</v>
      </c>
      <c r="H13" s="64">
        <f t="shared" si="1"/>
        <v>6690</v>
      </c>
      <c r="I13" s="64">
        <f t="shared" si="1"/>
        <v>4350</v>
      </c>
      <c r="J13" s="64">
        <f>J11-J12</f>
        <v>9500</v>
      </c>
      <c r="K13" s="216" t="s">
        <v>28</v>
      </c>
      <c r="L13" s="217"/>
    </row>
    <row r="14" ht="19.5" customHeight="1" thickTop="1"/>
  </sheetData>
  <sheetProtection/>
  <mergeCells count="13">
    <mergeCell ref="K8:L8"/>
    <mergeCell ref="H7:J7"/>
    <mergeCell ref="E7:G7"/>
    <mergeCell ref="B5:L5"/>
    <mergeCell ref="B4:L4"/>
    <mergeCell ref="K11:L11"/>
    <mergeCell ref="K12:L12"/>
    <mergeCell ref="B6:L6"/>
    <mergeCell ref="K13:L13"/>
    <mergeCell ref="B7:D7"/>
    <mergeCell ref="K9:L9"/>
    <mergeCell ref="K10:L10"/>
    <mergeCell ref="K7:L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9" customWidth="1"/>
    <col min="2" max="2" width="11.8515625" style="19" customWidth="1"/>
    <col min="3" max="3" width="12.57421875" style="19" customWidth="1"/>
    <col min="4" max="4" width="11.140625" style="19" customWidth="1"/>
    <col min="5" max="6" width="11.421875" style="19" customWidth="1"/>
    <col min="7" max="7" width="12.57421875" style="19" customWidth="1"/>
    <col min="8" max="9" width="11.421875" style="19" customWidth="1"/>
    <col min="10" max="10" width="11.28125" style="19" customWidth="1"/>
    <col min="11" max="11" width="26.00390625" style="19" customWidth="1"/>
    <col min="12" max="16384" width="9.140625" style="19" customWidth="1"/>
  </cols>
  <sheetData>
    <row r="1" ht="13.5" thickBot="1"/>
    <row r="2" spans="5:11" ht="15">
      <c r="E2" s="152" t="s">
        <v>283</v>
      </c>
      <c r="F2" s="157"/>
      <c r="G2" s="157"/>
      <c r="H2" s="157"/>
      <c r="I2" s="157"/>
      <c r="J2" s="157"/>
      <c r="K2" s="153"/>
    </row>
    <row r="3" spans="2:11" ht="15">
      <c r="B3" s="5"/>
      <c r="C3" s="5"/>
      <c r="D3" s="5"/>
      <c r="E3" s="225" t="s">
        <v>62</v>
      </c>
      <c r="F3" s="226"/>
      <c r="G3" s="226"/>
      <c r="H3" s="226"/>
      <c r="I3" s="226"/>
      <c r="J3" s="226"/>
      <c r="K3" s="227"/>
    </row>
    <row r="4" spans="2:11" ht="15.75" thickBot="1">
      <c r="B4" s="5"/>
      <c r="C4" s="5"/>
      <c r="D4" s="5"/>
      <c r="E4" s="158" t="s">
        <v>132</v>
      </c>
      <c r="F4" s="159"/>
      <c r="G4" s="159"/>
      <c r="H4" s="159"/>
      <c r="I4" s="159"/>
      <c r="J4" s="159"/>
      <c r="K4" s="160"/>
    </row>
    <row r="5" spans="2:11" ht="13.5" thickBot="1">
      <c r="B5" s="3"/>
      <c r="E5" s="167" t="s">
        <v>59</v>
      </c>
      <c r="F5" s="168"/>
      <c r="G5" s="165" t="s">
        <v>58</v>
      </c>
      <c r="H5" s="166"/>
      <c r="I5" s="163" t="s">
        <v>57</v>
      </c>
      <c r="J5" s="164"/>
      <c r="K5" s="37" t="s">
        <v>56</v>
      </c>
    </row>
    <row r="6" spans="2:11" ht="21" thickBot="1">
      <c r="B6" s="3"/>
      <c r="E6" s="48" t="s">
        <v>3</v>
      </c>
      <c r="F6" s="48" t="s">
        <v>2</v>
      </c>
      <c r="G6" s="48" t="s">
        <v>3</v>
      </c>
      <c r="H6" s="48" t="s">
        <v>2</v>
      </c>
      <c r="I6" s="48" t="s">
        <v>3</v>
      </c>
      <c r="J6" s="48" t="s">
        <v>2</v>
      </c>
      <c r="K6" s="37"/>
    </row>
    <row r="7" spans="2:11" ht="21" thickBot="1">
      <c r="B7" s="3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37" t="s">
        <v>55</v>
      </c>
    </row>
    <row r="8" spans="1:11" ht="21" thickBot="1">
      <c r="A8" s="20"/>
      <c r="B8" s="3"/>
      <c r="E8" s="31">
        <f>'بودجه توليد'!H13*20%</f>
        <v>1338</v>
      </c>
      <c r="F8" s="31">
        <f>E15*20%</f>
        <v>10032</v>
      </c>
      <c r="G8" s="31">
        <f>'بودجه توليد'!I13*20%</f>
        <v>870</v>
      </c>
      <c r="H8" s="31">
        <f>F15*20%</f>
        <v>13904</v>
      </c>
      <c r="I8" s="31">
        <f>'بودجه توليد'!J13*20%</f>
        <v>1900</v>
      </c>
      <c r="J8" s="31">
        <f>G15*20%</f>
        <v>14080</v>
      </c>
      <c r="K8" s="37" t="s">
        <v>61</v>
      </c>
    </row>
    <row r="9" spans="1:10" ht="21" thickBot="1">
      <c r="A9" s="20"/>
      <c r="B9" s="3"/>
      <c r="J9" s="3"/>
    </row>
    <row r="10" spans="1:11" ht="20.25">
      <c r="A10" s="20"/>
      <c r="B10" s="152" t="s">
        <v>284</v>
      </c>
      <c r="C10" s="157"/>
      <c r="D10" s="157"/>
      <c r="E10" s="157"/>
      <c r="F10" s="157"/>
      <c r="G10" s="157"/>
      <c r="H10" s="157"/>
      <c r="I10" s="157"/>
      <c r="J10" s="157"/>
      <c r="K10" s="153"/>
    </row>
    <row r="11" spans="1:11" ht="20.25">
      <c r="A11" s="20"/>
      <c r="B11" s="225" t="s">
        <v>231</v>
      </c>
      <c r="C11" s="226"/>
      <c r="D11" s="226"/>
      <c r="E11" s="226"/>
      <c r="F11" s="226"/>
      <c r="G11" s="226"/>
      <c r="H11" s="226"/>
      <c r="I11" s="226"/>
      <c r="J11" s="226"/>
      <c r="K11" s="227"/>
    </row>
    <row r="12" spans="1:11" ht="21" thickBot="1">
      <c r="A12" s="20"/>
      <c r="B12" s="158" t="s">
        <v>132</v>
      </c>
      <c r="C12" s="159"/>
      <c r="D12" s="159"/>
      <c r="E12" s="159"/>
      <c r="F12" s="159"/>
      <c r="G12" s="159"/>
      <c r="H12" s="159"/>
      <c r="I12" s="159"/>
      <c r="J12" s="159"/>
      <c r="K12" s="160"/>
    </row>
    <row r="13" spans="1:11" ht="21" thickBot="1">
      <c r="A13" s="20"/>
      <c r="B13" s="209" t="s">
        <v>24</v>
      </c>
      <c r="C13" s="209"/>
      <c r="D13" s="209"/>
      <c r="E13" s="209" t="s">
        <v>3</v>
      </c>
      <c r="F13" s="209"/>
      <c r="G13" s="209"/>
      <c r="H13" s="209" t="s">
        <v>2</v>
      </c>
      <c r="I13" s="209"/>
      <c r="J13" s="209"/>
      <c r="K13" s="50" t="s">
        <v>1</v>
      </c>
    </row>
    <row r="14" spans="1:11" ht="21" thickBot="1">
      <c r="A14" s="20"/>
      <c r="B14" s="54" t="s">
        <v>38</v>
      </c>
      <c r="C14" s="56" t="s">
        <v>37</v>
      </c>
      <c r="D14" s="55" t="s">
        <v>36</v>
      </c>
      <c r="E14" s="54" t="s">
        <v>38</v>
      </c>
      <c r="F14" s="56" t="s">
        <v>37</v>
      </c>
      <c r="G14" s="55" t="s">
        <v>36</v>
      </c>
      <c r="H14" s="54" t="s">
        <v>38</v>
      </c>
      <c r="I14" s="56" t="s">
        <v>37</v>
      </c>
      <c r="J14" s="55" t="s">
        <v>36</v>
      </c>
      <c r="K14" s="50" t="s">
        <v>29</v>
      </c>
    </row>
    <row r="15" spans="1:11" ht="21" thickBot="1">
      <c r="A15" s="20"/>
      <c r="B15" s="31">
        <f>H15+E15</f>
        <v>103350</v>
      </c>
      <c r="C15" s="31">
        <f>I15+F15</f>
        <v>142650</v>
      </c>
      <c r="D15" s="31">
        <f>J15+G15</f>
        <v>130950</v>
      </c>
      <c r="E15" s="31">
        <f>('داده ها'!E55*'بودجه توليد'!F13)+('داده ها'!D55*'بودجه توليد'!E13)</f>
        <v>50160</v>
      </c>
      <c r="F15" s="31">
        <f>('داده ها'!F54*'بودجه توليد'!G13)+('داده ها'!E54*'بودجه توليد'!F13)+('داده ها'!D54*'بودجه توليد'!E13)</f>
        <v>69520</v>
      </c>
      <c r="G15" s="31">
        <f>('داده ها'!F53*'بودجه توليد'!G13)+('داده ها'!E53*'بودجه توليد'!G13)</f>
        <v>70400</v>
      </c>
      <c r="H15" s="31">
        <f>('داده ها'!E55*'بودجه توليد'!I13)+('داده ها'!D55*'بودجه توليد'!H13)</f>
        <v>53190</v>
      </c>
      <c r="I15" s="31">
        <f>('داده ها'!F54*'بودجه توليد'!J13)+('داده ها'!E54*'بودجه توليد'!I13)+('داده ها'!D54*'بودجه توليد'!H13)</f>
        <v>73130</v>
      </c>
      <c r="J15" s="31">
        <f>('داده ها'!F53*'بودجه توليد'!J13)+('داده ها'!E53*'بودجه توليد'!I13)</f>
        <v>60550</v>
      </c>
      <c r="K15" s="51" t="s">
        <v>30</v>
      </c>
    </row>
    <row r="16" spans="2:11" ht="21" thickBot="1">
      <c r="B16" s="31">
        <f>E16</f>
        <v>1338</v>
      </c>
      <c r="C16" s="31">
        <f>F16</f>
        <v>870</v>
      </c>
      <c r="D16" s="31">
        <f>G16</f>
        <v>1900</v>
      </c>
      <c r="E16" s="31">
        <f>E8</f>
        <v>1338</v>
      </c>
      <c r="F16" s="31">
        <f>G8</f>
        <v>870</v>
      </c>
      <c r="G16" s="31">
        <f>I8</f>
        <v>1900</v>
      </c>
      <c r="H16" s="31">
        <f>F8</f>
        <v>10032</v>
      </c>
      <c r="I16" s="31">
        <f>H8</f>
        <v>13904</v>
      </c>
      <c r="J16" s="31">
        <f>J8</f>
        <v>14080</v>
      </c>
      <c r="K16" s="52" t="s">
        <v>34</v>
      </c>
    </row>
    <row r="17" spans="2:11" ht="21" thickBot="1">
      <c r="B17" s="31">
        <f aca="true" t="shared" si="0" ref="B17:J17">B16+B15</f>
        <v>104688</v>
      </c>
      <c r="C17" s="31">
        <f t="shared" si="0"/>
        <v>143520</v>
      </c>
      <c r="D17" s="31">
        <f t="shared" si="0"/>
        <v>132850</v>
      </c>
      <c r="E17" s="31">
        <f t="shared" si="0"/>
        <v>51498</v>
      </c>
      <c r="F17" s="31">
        <f t="shared" si="0"/>
        <v>70390</v>
      </c>
      <c r="G17" s="31">
        <f t="shared" si="0"/>
        <v>72300</v>
      </c>
      <c r="H17" s="31">
        <f t="shared" si="0"/>
        <v>63222</v>
      </c>
      <c r="I17" s="31">
        <f t="shared" si="0"/>
        <v>87034</v>
      </c>
      <c r="J17" s="31">
        <f t="shared" si="0"/>
        <v>74630</v>
      </c>
      <c r="K17" s="51" t="s">
        <v>31</v>
      </c>
    </row>
    <row r="18" spans="2:11" ht="21" thickBot="1">
      <c r="B18" s="131">
        <f>H18</f>
        <v>11000</v>
      </c>
      <c r="C18" s="131">
        <f>I18</f>
        <v>9000</v>
      </c>
      <c r="D18" s="131">
        <f>J18</f>
        <v>5000</v>
      </c>
      <c r="E18" s="131">
        <f>F8</f>
        <v>10032</v>
      </c>
      <c r="F18" s="131">
        <f>H8</f>
        <v>13904</v>
      </c>
      <c r="G18" s="131">
        <f>J8</f>
        <v>14080</v>
      </c>
      <c r="H18" s="131">
        <f>'داده ها'!C49</f>
        <v>11000</v>
      </c>
      <c r="I18" s="131">
        <f>'داده ها'!E49</f>
        <v>9000</v>
      </c>
      <c r="J18" s="131">
        <f>'داده ها'!G49</f>
        <v>5000</v>
      </c>
      <c r="K18" s="134" t="s">
        <v>277</v>
      </c>
    </row>
    <row r="19" spans="2:11" ht="21" thickBot="1">
      <c r="B19" s="31">
        <f aca="true" t="shared" si="1" ref="B19:J19">B17-B18</f>
        <v>93688</v>
      </c>
      <c r="C19" s="31">
        <f t="shared" si="1"/>
        <v>134520</v>
      </c>
      <c r="D19" s="31">
        <f t="shared" si="1"/>
        <v>127850</v>
      </c>
      <c r="E19" s="31">
        <f t="shared" si="1"/>
        <v>41466</v>
      </c>
      <c r="F19" s="31">
        <f t="shared" si="1"/>
        <v>56486</v>
      </c>
      <c r="G19" s="31">
        <f t="shared" si="1"/>
        <v>58220</v>
      </c>
      <c r="H19" s="31">
        <f t="shared" si="1"/>
        <v>52222</v>
      </c>
      <c r="I19" s="31">
        <f t="shared" si="1"/>
        <v>78034</v>
      </c>
      <c r="J19" s="31">
        <f t="shared" si="1"/>
        <v>69630</v>
      </c>
      <c r="K19" s="51" t="s">
        <v>32</v>
      </c>
    </row>
    <row r="20" spans="2:11" ht="21" thickBot="1">
      <c r="B20" s="31">
        <f>H20</f>
        <v>50</v>
      </c>
      <c r="C20" s="31">
        <f>I20</f>
        <v>30</v>
      </c>
      <c r="D20" s="31">
        <f>J20</f>
        <v>20</v>
      </c>
      <c r="E20" s="31">
        <f>H20</f>
        <v>50</v>
      </c>
      <c r="F20" s="31">
        <f>I20</f>
        <v>30</v>
      </c>
      <c r="G20" s="31">
        <f>J20</f>
        <v>20</v>
      </c>
      <c r="H20" s="31">
        <f>'داده ها'!B49</f>
        <v>50</v>
      </c>
      <c r="I20" s="31">
        <f>'داده ها'!D49</f>
        <v>30</v>
      </c>
      <c r="J20" s="31">
        <f>'داده ها'!F49</f>
        <v>20</v>
      </c>
      <c r="K20" s="51" t="s">
        <v>33</v>
      </c>
    </row>
    <row r="21" spans="2:11" ht="21" thickBot="1">
      <c r="B21" s="64">
        <f aca="true" t="shared" si="2" ref="B21:I21">B19*B20</f>
        <v>4684400</v>
      </c>
      <c r="C21" s="64">
        <f t="shared" si="2"/>
        <v>4035600</v>
      </c>
      <c r="D21" s="64">
        <f t="shared" si="2"/>
        <v>2557000</v>
      </c>
      <c r="E21" s="64">
        <f t="shared" si="2"/>
        <v>2073300</v>
      </c>
      <c r="F21" s="64">
        <f t="shared" si="2"/>
        <v>1694580</v>
      </c>
      <c r="G21" s="64">
        <f t="shared" si="2"/>
        <v>1164400</v>
      </c>
      <c r="H21" s="64">
        <f t="shared" si="2"/>
        <v>2611100</v>
      </c>
      <c r="I21" s="64">
        <f t="shared" si="2"/>
        <v>2341020</v>
      </c>
      <c r="J21" s="64">
        <f>J19*J20</f>
        <v>1392600</v>
      </c>
      <c r="K21" s="53" t="s">
        <v>35</v>
      </c>
    </row>
    <row r="22" ht="21" thickTop="1"/>
  </sheetData>
  <sheetProtection/>
  <mergeCells count="12">
    <mergeCell ref="E2:K2"/>
    <mergeCell ref="B10:K10"/>
    <mergeCell ref="E4:K4"/>
    <mergeCell ref="B12:K12"/>
    <mergeCell ref="E3:K3"/>
    <mergeCell ref="I5:J5"/>
    <mergeCell ref="G5:H5"/>
    <mergeCell ref="E5:F5"/>
    <mergeCell ref="H13:J13"/>
    <mergeCell ref="E13:G13"/>
    <mergeCell ref="B11:K11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ignoredErrors>
    <ignoredError sqref="B19:D19" 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L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10.7109375" style="1" customWidth="1"/>
    <col min="4" max="4" width="10.8515625" style="1" customWidth="1"/>
    <col min="5" max="5" width="11.28125" style="1" customWidth="1"/>
    <col min="6" max="6" width="10.00390625" style="1" customWidth="1"/>
    <col min="7" max="7" width="10.8515625" style="1" customWidth="1"/>
    <col min="8" max="8" width="11.00390625" style="1" customWidth="1"/>
    <col min="9" max="9" width="9.8515625" style="1" customWidth="1"/>
    <col min="10" max="10" width="10.57421875" style="1" customWidth="1"/>
    <col min="11" max="11" width="9.140625" style="1" customWidth="1"/>
    <col min="12" max="12" width="20.57421875" style="1" customWidth="1"/>
    <col min="13" max="16384" width="9.140625" style="1" customWidth="1"/>
  </cols>
  <sheetData>
    <row r="3" ht="13.5" thickBot="1"/>
    <row r="4" spans="2:12" ht="21.75" customHeight="1">
      <c r="B4" s="213" t="s">
        <v>282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2:12" ht="19.5" customHeight="1">
      <c r="B5" s="210" t="s">
        <v>64</v>
      </c>
      <c r="C5" s="211"/>
      <c r="D5" s="211"/>
      <c r="E5" s="211"/>
      <c r="F5" s="211"/>
      <c r="G5" s="211"/>
      <c r="H5" s="211"/>
      <c r="I5" s="211"/>
      <c r="J5" s="211"/>
      <c r="K5" s="211"/>
      <c r="L5" s="212"/>
    </row>
    <row r="6" spans="2:12" ht="19.5" customHeight="1" thickBot="1">
      <c r="B6" s="220" t="s">
        <v>132</v>
      </c>
      <c r="C6" s="221"/>
      <c r="D6" s="221"/>
      <c r="E6" s="221"/>
      <c r="F6" s="221"/>
      <c r="G6" s="221"/>
      <c r="H6" s="221"/>
      <c r="I6" s="221"/>
      <c r="J6" s="221"/>
      <c r="K6" s="221"/>
      <c r="L6" s="222"/>
    </row>
    <row r="7" spans="2:12" ht="21" thickBot="1">
      <c r="B7" s="137" t="s">
        <v>24</v>
      </c>
      <c r="C7" s="223"/>
      <c r="D7" s="138"/>
      <c r="E7" s="137" t="s">
        <v>3</v>
      </c>
      <c r="F7" s="223"/>
      <c r="G7" s="138"/>
      <c r="H7" s="137" t="s">
        <v>2</v>
      </c>
      <c r="I7" s="223"/>
      <c r="J7" s="138"/>
      <c r="K7" s="137" t="s">
        <v>1</v>
      </c>
      <c r="L7" s="138"/>
    </row>
    <row r="8" spans="2:12" ht="21" thickBot="1">
      <c r="B8" s="40" t="s">
        <v>5</v>
      </c>
      <c r="C8" s="41" t="s">
        <v>4</v>
      </c>
      <c r="D8" s="39" t="s">
        <v>11</v>
      </c>
      <c r="E8" s="40" t="s">
        <v>5</v>
      </c>
      <c r="F8" s="41" t="s">
        <v>4</v>
      </c>
      <c r="G8" s="39" t="s">
        <v>11</v>
      </c>
      <c r="H8" s="40" t="s">
        <v>5</v>
      </c>
      <c r="I8" s="41" t="s">
        <v>4</v>
      </c>
      <c r="J8" s="39" t="s">
        <v>11</v>
      </c>
      <c r="K8" s="137" t="s">
        <v>23</v>
      </c>
      <c r="L8" s="138"/>
    </row>
    <row r="9" spans="2:12" ht="21" thickBot="1">
      <c r="B9" s="31">
        <f>'بودجه توليد'!B13</f>
        <v>12850</v>
      </c>
      <c r="C9" s="31">
        <f>'بودجه توليد'!C13</f>
        <v>8750</v>
      </c>
      <c r="D9" s="31">
        <f>'بودجه توليد'!D13</f>
        <v>18300</v>
      </c>
      <c r="E9" s="31">
        <f>'بودجه توليد'!E13</f>
        <v>6160</v>
      </c>
      <c r="F9" s="31">
        <f>'بودجه توليد'!F13</f>
        <v>4400</v>
      </c>
      <c r="G9" s="31">
        <f>'بودجه توليد'!G13</f>
        <v>8800</v>
      </c>
      <c r="H9" s="31">
        <f>'بودجه توليد'!H13</f>
        <v>6690</v>
      </c>
      <c r="I9" s="31">
        <f>'بودجه توليد'!I13</f>
        <v>4350</v>
      </c>
      <c r="J9" s="31">
        <f>'بودجه توليد'!J13</f>
        <v>9500</v>
      </c>
      <c r="K9" s="228" t="s">
        <v>65</v>
      </c>
      <c r="L9" s="229"/>
    </row>
    <row r="10" spans="2:12" ht="21" thickBot="1">
      <c r="B10" s="31">
        <f>'داده ها'!D56</f>
        <v>4</v>
      </c>
      <c r="C10" s="31">
        <f>'داده ها'!E56</f>
        <v>3</v>
      </c>
      <c r="D10" s="31">
        <f>'داده ها'!F56</f>
        <v>2</v>
      </c>
      <c r="E10" s="31">
        <f>'داده ها'!D56</f>
        <v>4</v>
      </c>
      <c r="F10" s="31">
        <f>'داده ها'!E56</f>
        <v>3</v>
      </c>
      <c r="G10" s="31">
        <f>'داده ها'!F56</f>
        <v>2</v>
      </c>
      <c r="H10" s="31">
        <f>'داده ها'!D56</f>
        <v>4</v>
      </c>
      <c r="I10" s="31">
        <f>'داده ها'!E56</f>
        <v>3</v>
      </c>
      <c r="J10" s="31">
        <f>'داده ها'!F56</f>
        <v>2</v>
      </c>
      <c r="K10" s="228" t="s">
        <v>66</v>
      </c>
      <c r="L10" s="229"/>
    </row>
    <row r="11" spans="2:12" ht="21" thickBot="1">
      <c r="B11" s="31">
        <f aca="true" t="shared" si="0" ref="B11:I11">B9*B10</f>
        <v>51400</v>
      </c>
      <c r="C11" s="31">
        <f t="shared" si="0"/>
        <v>26250</v>
      </c>
      <c r="D11" s="31">
        <f t="shared" si="0"/>
        <v>36600</v>
      </c>
      <c r="E11" s="31">
        <f t="shared" si="0"/>
        <v>24640</v>
      </c>
      <c r="F11" s="31">
        <f t="shared" si="0"/>
        <v>13200</v>
      </c>
      <c r="G11" s="31">
        <f t="shared" si="0"/>
        <v>17600</v>
      </c>
      <c r="H11" s="31">
        <f t="shared" si="0"/>
        <v>26760</v>
      </c>
      <c r="I11" s="31">
        <f t="shared" si="0"/>
        <v>13050</v>
      </c>
      <c r="J11" s="31">
        <f>J9*J10</f>
        <v>19000</v>
      </c>
      <c r="K11" s="228" t="s">
        <v>67</v>
      </c>
      <c r="L11" s="229"/>
    </row>
    <row r="12" spans="2:12" ht="21" thickBot="1">
      <c r="B12" s="31">
        <f>'داده ها'!D57</f>
        <v>70</v>
      </c>
      <c r="C12" s="31">
        <f>'داده ها'!E57</f>
        <v>30</v>
      </c>
      <c r="D12" s="31">
        <f>'داده ها'!F57</f>
        <v>40</v>
      </c>
      <c r="E12" s="31">
        <f>'داده ها'!D57</f>
        <v>70</v>
      </c>
      <c r="F12" s="31">
        <f>'داده ها'!E57</f>
        <v>30</v>
      </c>
      <c r="G12" s="31">
        <f>'داده ها'!F57</f>
        <v>40</v>
      </c>
      <c r="H12" s="31">
        <f>'داده ها'!D57</f>
        <v>70</v>
      </c>
      <c r="I12" s="31">
        <f>'داده ها'!E57</f>
        <v>30</v>
      </c>
      <c r="J12" s="31">
        <f>'داده ها'!F57</f>
        <v>40</v>
      </c>
      <c r="K12" s="228" t="s">
        <v>71</v>
      </c>
      <c r="L12" s="229"/>
    </row>
    <row r="13" spans="2:12" ht="21" thickBot="1">
      <c r="B13" s="64">
        <f aca="true" t="shared" si="1" ref="B13:I13">B11*B12</f>
        <v>3598000</v>
      </c>
      <c r="C13" s="64">
        <f t="shared" si="1"/>
        <v>787500</v>
      </c>
      <c r="D13" s="64">
        <f t="shared" si="1"/>
        <v>1464000</v>
      </c>
      <c r="E13" s="64">
        <f t="shared" si="1"/>
        <v>1724800</v>
      </c>
      <c r="F13" s="64">
        <f t="shared" si="1"/>
        <v>396000</v>
      </c>
      <c r="G13" s="64">
        <f t="shared" si="1"/>
        <v>704000</v>
      </c>
      <c r="H13" s="64">
        <f t="shared" si="1"/>
        <v>1873200</v>
      </c>
      <c r="I13" s="64">
        <f t="shared" si="1"/>
        <v>391500</v>
      </c>
      <c r="J13" s="64">
        <f>J11*J12</f>
        <v>760000</v>
      </c>
      <c r="K13" s="228" t="s">
        <v>70</v>
      </c>
      <c r="L13" s="229"/>
    </row>
    <row r="14" ht="13.5" thickTop="1"/>
    <row r="19" ht="12.75">
      <c r="D19" s="70"/>
    </row>
  </sheetData>
  <sheetProtection/>
  <mergeCells count="13">
    <mergeCell ref="B4:L4"/>
    <mergeCell ref="B5:L5"/>
    <mergeCell ref="B7:D7"/>
    <mergeCell ref="E7:G7"/>
    <mergeCell ref="H7:J7"/>
    <mergeCell ref="K7:L7"/>
    <mergeCell ref="B6:L6"/>
    <mergeCell ref="K12:L12"/>
    <mergeCell ref="K13:L13"/>
    <mergeCell ref="K8:L8"/>
    <mergeCell ref="K9:L9"/>
    <mergeCell ref="K10:L10"/>
    <mergeCell ref="K11:L11"/>
  </mergeCells>
  <printOptions/>
  <pageMargins left="0.75" right="0.75" top="1" bottom="1" header="0.5" footer="0.5"/>
  <pageSetup orientation="portrait" paperSize="9"/>
  <ignoredErrors>
    <ignoredError sqref="B12:J1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G21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2" width="9.140625" style="1" customWidth="1"/>
    <col min="3" max="3" width="11.8515625" style="1" customWidth="1"/>
    <col min="4" max="4" width="11.57421875" style="1" customWidth="1"/>
    <col min="5" max="5" width="18.7109375" style="1" customWidth="1"/>
    <col min="6" max="16384" width="9.140625" style="1" customWidth="1"/>
  </cols>
  <sheetData>
    <row r="1" ht="19.5" customHeight="1" thickBot="1"/>
    <row r="2" spans="3:7" ht="19.5" customHeight="1">
      <c r="C2" s="231" t="s">
        <v>285</v>
      </c>
      <c r="D2" s="231"/>
      <c r="E2" s="231"/>
      <c r="F2" s="231"/>
      <c r="G2" s="231"/>
    </row>
    <row r="3" spans="3:7" ht="19.5" customHeight="1">
      <c r="C3" s="232" t="s">
        <v>72</v>
      </c>
      <c r="D3" s="232"/>
      <c r="E3" s="232"/>
      <c r="F3" s="232"/>
      <c r="G3" s="232"/>
    </row>
    <row r="4" spans="3:7" ht="19.5" customHeight="1" thickBot="1">
      <c r="C4" s="220" t="s">
        <v>132</v>
      </c>
      <c r="D4" s="221"/>
      <c r="E4" s="221"/>
      <c r="F4" s="221"/>
      <c r="G4" s="222"/>
    </row>
    <row r="5" spans="3:7" ht="19.5" customHeight="1" thickBot="1">
      <c r="C5" s="42" t="s">
        <v>92</v>
      </c>
      <c r="D5" s="50" t="s">
        <v>3</v>
      </c>
      <c r="E5" s="50" t="s">
        <v>2</v>
      </c>
      <c r="F5" s="209" t="s">
        <v>1</v>
      </c>
      <c r="G5" s="209"/>
    </row>
    <row r="6" spans="3:7" ht="19.5" customHeight="1" thickBot="1">
      <c r="C6" s="31"/>
      <c r="D6" s="31"/>
      <c r="E6" s="31"/>
      <c r="F6" s="209"/>
      <c r="G6" s="209"/>
    </row>
    <row r="7" spans="3:7" ht="19.5" customHeight="1" thickBot="1">
      <c r="C7" s="31"/>
      <c r="D7" s="31"/>
      <c r="E7" s="31"/>
      <c r="F7" s="234" t="s">
        <v>87</v>
      </c>
      <c r="G7" s="235"/>
    </row>
    <row r="8" spans="3:7" ht="19.5" customHeight="1" thickBot="1">
      <c r="C8" s="31">
        <f>D8+E8</f>
        <v>1142500</v>
      </c>
      <c r="D8" s="31">
        <f>('بودجه دستمزد مستقيم '!G11+'بودجه دستمزد مستقيم '!F11+'بودجه دستمزد مستقيم '!E11)*'داده ها'!D59</f>
        <v>554400</v>
      </c>
      <c r="E8" s="31">
        <f>('بودجه دستمزد مستقيم '!J11+'بودجه دستمزد مستقيم '!I11+'بودجه دستمزد مستقيم '!H11)*'داده ها'!D59</f>
        <v>588100</v>
      </c>
      <c r="F8" s="233" t="s">
        <v>74</v>
      </c>
      <c r="G8" s="233"/>
    </row>
    <row r="9" spans="3:7" ht="19.5" customHeight="1" thickBot="1">
      <c r="C9" s="31">
        <f>E9+D9</f>
        <v>2285000</v>
      </c>
      <c r="D9" s="31">
        <f>('بودجه دستمزد مستقيم '!G11+'بودجه دستمزد مستقيم '!F11+'بودجه دستمزد مستقيم '!E11)*'داده ها'!D60</f>
        <v>1108800</v>
      </c>
      <c r="E9" s="31">
        <f>('بودجه دستمزد مستقيم '!J11+'بودجه دستمزد مستقيم '!I11+'بودجه دستمزد مستقيم '!H11)*'داده ها'!D60</f>
        <v>1176200</v>
      </c>
      <c r="F9" s="233" t="s">
        <v>75</v>
      </c>
      <c r="G9" s="233"/>
    </row>
    <row r="10" spans="3:7" ht="19.5" customHeight="1" thickBot="1">
      <c r="C10" s="31">
        <f>E10+D10</f>
        <v>1713750</v>
      </c>
      <c r="D10" s="31">
        <f>('بودجه دستمزد مستقيم '!G11+'بودجه دستمزد مستقيم '!F11+'بودجه دستمزد مستقيم '!E11)*'داده ها'!D61</f>
        <v>831600</v>
      </c>
      <c r="E10" s="31">
        <f>('بودجه دستمزد مستقيم '!J11+'بودجه دستمزد مستقيم '!I11+'بودجه دستمزد مستقيم '!H11)*'داده ها'!D61</f>
        <v>882150</v>
      </c>
      <c r="F10" s="228" t="s">
        <v>77</v>
      </c>
      <c r="G10" s="229"/>
    </row>
    <row r="11" spans="3:7" ht="19.5" customHeight="1" thickBot="1">
      <c r="C11" s="31">
        <f>E11+D11</f>
        <v>4570000</v>
      </c>
      <c r="D11" s="31">
        <f>('بودجه دستمزد مستقيم '!G11+'بودجه دستمزد مستقيم '!F11+'بودجه دستمزد مستقيم '!E11)*'داده ها'!D62</f>
        <v>2217600</v>
      </c>
      <c r="E11" s="31">
        <f>('بودجه دستمزد مستقيم '!J11+'بودجه دستمزد مستقيم '!I11+'بودجه دستمزد مستقيم '!H11)*'داده ها'!D62</f>
        <v>2352400</v>
      </c>
      <c r="F11" s="233" t="s">
        <v>76</v>
      </c>
      <c r="G11" s="233"/>
    </row>
    <row r="12" spans="3:7" ht="19.5" customHeight="1" thickBot="1">
      <c r="C12" s="31">
        <f>E12+D12</f>
        <v>5712500</v>
      </c>
      <c r="D12" s="31">
        <f>('بودجه دستمزد مستقيم '!G11+'بودجه دستمزد مستقيم '!F11+'بودجه دستمزد مستقيم '!E11)*'داده ها'!D63</f>
        <v>2772000</v>
      </c>
      <c r="E12" s="31">
        <f>('بودجه دستمزد مستقيم '!J11+'بودجه دستمزد مستقيم '!I11+'بودجه دستمزد مستقيم '!H11)*'داده ها'!D63</f>
        <v>2940500</v>
      </c>
      <c r="F12" s="233" t="s">
        <v>78</v>
      </c>
      <c r="G12" s="233"/>
    </row>
    <row r="13" spans="3:7" ht="19.5" customHeight="1" thickBot="1">
      <c r="C13" s="31">
        <f>C8+C9+C10+C11+C12</f>
        <v>15423750</v>
      </c>
      <c r="D13" s="31">
        <f>D8+D9+D10+D11+D12</f>
        <v>7484400</v>
      </c>
      <c r="E13" s="31">
        <f>E8+E9+E10+E11+E12</f>
        <v>7939350</v>
      </c>
      <c r="F13" s="141" t="s">
        <v>90</v>
      </c>
      <c r="G13" s="143"/>
    </row>
    <row r="14" spans="3:7" ht="19.5" customHeight="1" thickBot="1">
      <c r="C14" s="31"/>
      <c r="D14" s="31"/>
      <c r="E14" s="31"/>
      <c r="F14" s="234" t="s">
        <v>88</v>
      </c>
      <c r="G14" s="235"/>
    </row>
    <row r="15" spans="3:7" ht="19.5" customHeight="1" thickBot="1">
      <c r="C15" s="31">
        <f>E15+D15</f>
        <v>1800000</v>
      </c>
      <c r="D15" s="31">
        <f>'داده ها'!D68/2</f>
        <v>900000</v>
      </c>
      <c r="E15" s="31">
        <f>'داده ها'!D68/2</f>
        <v>900000</v>
      </c>
      <c r="F15" s="233" t="s">
        <v>81</v>
      </c>
      <c r="G15" s="233"/>
    </row>
    <row r="16" spans="3:7" ht="19.5" customHeight="1" thickBot="1">
      <c r="C16" s="31">
        <f>E16+D16</f>
        <v>6000000</v>
      </c>
      <c r="D16" s="31">
        <f>'داده ها'!D69/2</f>
        <v>3000000</v>
      </c>
      <c r="E16" s="31">
        <f>'داده ها'!D69/2</f>
        <v>3000000</v>
      </c>
      <c r="F16" s="233" t="s">
        <v>82</v>
      </c>
      <c r="G16" s="233"/>
    </row>
    <row r="17" spans="3:7" ht="19.5" customHeight="1" thickBot="1">
      <c r="C17" s="31">
        <f>E17+D17</f>
        <v>580000</v>
      </c>
      <c r="D17" s="31">
        <f>'داده ها'!D70/2</f>
        <v>290000</v>
      </c>
      <c r="E17" s="31">
        <f>'داده ها'!D70/2</f>
        <v>290000</v>
      </c>
      <c r="F17" s="233" t="s">
        <v>83</v>
      </c>
      <c r="G17" s="233"/>
    </row>
    <row r="18" spans="3:7" ht="19.5" customHeight="1" thickBot="1">
      <c r="C18" s="31">
        <f>E18+D18</f>
        <v>180000</v>
      </c>
      <c r="D18" s="31">
        <f>'داده ها'!D71/2</f>
        <v>90000</v>
      </c>
      <c r="E18" s="31">
        <f>'داده ها'!D71/2</f>
        <v>90000</v>
      </c>
      <c r="F18" s="233" t="s">
        <v>84</v>
      </c>
      <c r="G18" s="233"/>
    </row>
    <row r="19" spans="3:7" ht="19.5" customHeight="1" thickBot="1">
      <c r="C19" s="31">
        <f>E19+D19</f>
        <v>120000</v>
      </c>
      <c r="D19" s="31">
        <f>'داده ها'!D72/2</f>
        <v>60000</v>
      </c>
      <c r="E19" s="31">
        <f>'داده ها'!D72/2</f>
        <v>60000</v>
      </c>
      <c r="F19" s="233" t="s">
        <v>85</v>
      </c>
      <c r="G19" s="233"/>
    </row>
    <row r="20" spans="3:7" ht="19.5" customHeight="1" thickBot="1">
      <c r="C20" s="31">
        <f>C15+C16+C17+C18+C19</f>
        <v>8680000</v>
      </c>
      <c r="D20" s="31">
        <f>D15+D16+D17+D18+D19</f>
        <v>4340000</v>
      </c>
      <c r="E20" s="31">
        <f>E15+E16+E17+E18+E19</f>
        <v>4340000</v>
      </c>
      <c r="F20" s="230" t="s">
        <v>89</v>
      </c>
      <c r="G20" s="230"/>
    </row>
    <row r="21" spans="3:7" ht="19.5" customHeight="1" thickBot="1">
      <c r="C21" s="64">
        <f>C13+C20</f>
        <v>24103750</v>
      </c>
      <c r="D21" s="64">
        <f>D13+D20</f>
        <v>11824400</v>
      </c>
      <c r="E21" s="64">
        <f>E13+E20</f>
        <v>12279350</v>
      </c>
      <c r="F21" s="230" t="s">
        <v>91</v>
      </c>
      <c r="G21" s="230"/>
    </row>
    <row r="22" ht="19.5" customHeight="1" thickTop="1"/>
  </sheetData>
  <sheetProtection/>
  <mergeCells count="20">
    <mergeCell ref="F13:G13"/>
    <mergeCell ref="F14:G14"/>
    <mergeCell ref="F15:G15"/>
    <mergeCell ref="F11:G11"/>
    <mergeCell ref="C4:G4"/>
    <mergeCell ref="F5:G5"/>
    <mergeCell ref="F8:G8"/>
    <mergeCell ref="F9:G9"/>
    <mergeCell ref="F6:G6"/>
    <mergeCell ref="F7:G7"/>
    <mergeCell ref="F20:G20"/>
    <mergeCell ref="F21:G21"/>
    <mergeCell ref="C2:G2"/>
    <mergeCell ref="C3:G3"/>
    <mergeCell ref="F10:G10"/>
    <mergeCell ref="F16:G16"/>
    <mergeCell ref="F17:G17"/>
    <mergeCell ref="F18:G18"/>
    <mergeCell ref="F19:G19"/>
    <mergeCell ref="F12:G1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Z27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9.140625" style="19" customWidth="1"/>
    <col min="2" max="2" width="5.57421875" style="19" customWidth="1"/>
    <col min="3" max="3" width="13.00390625" style="19" customWidth="1"/>
    <col min="4" max="4" width="13.140625" style="19" customWidth="1"/>
    <col min="5" max="5" width="9.140625" style="19" customWidth="1"/>
    <col min="6" max="6" width="13.8515625" style="19" customWidth="1"/>
    <col min="7" max="7" width="9.140625" style="19" customWidth="1"/>
    <col min="8" max="8" width="14.421875" style="19" customWidth="1"/>
    <col min="9" max="9" width="9.140625" style="19" customWidth="1"/>
    <col min="10" max="10" width="33.28125" style="19" customWidth="1"/>
    <col min="11" max="16384" width="9.140625" style="19" customWidth="1"/>
  </cols>
  <sheetData>
    <row r="1" spans="7:26" ht="21" thickBot="1">
      <c r="G1" s="21"/>
      <c r="H1" s="21"/>
      <c r="I1" s="21"/>
      <c r="J1" s="2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15" ht="23.25">
      <c r="B2" s="20"/>
      <c r="C2" s="20"/>
      <c r="G2" s="213" t="s">
        <v>285</v>
      </c>
      <c r="H2" s="214"/>
      <c r="I2" s="214"/>
      <c r="J2" s="215"/>
      <c r="K2" s="22"/>
      <c r="L2" s="22"/>
      <c r="M2" s="22"/>
      <c r="N2" s="22"/>
      <c r="O2" s="20"/>
    </row>
    <row r="3" spans="2:10" ht="24" thickBot="1">
      <c r="B3" s="20"/>
      <c r="C3" s="20"/>
      <c r="G3" s="210" t="s">
        <v>105</v>
      </c>
      <c r="H3" s="211"/>
      <c r="I3" s="211"/>
      <c r="J3" s="212"/>
    </row>
    <row r="4" spans="2:10" ht="21" thickBot="1">
      <c r="B4" s="20"/>
      <c r="C4" s="20"/>
      <c r="G4" s="61" t="s">
        <v>107</v>
      </c>
      <c r="H4" s="60" t="s">
        <v>106</v>
      </c>
      <c r="I4" s="59" t="s">
        <v>108</v>
      </c>
      <c r="J4" s="58"/>
    </row>
    <row r="5" spans="2:10" ht="21" thickBot="1">
      <c r="B5" s="20"/>
      <c r="C5" s="20"/>
      <c r="G5" s="31">
        <f>('داده ها'!D54*'داده ها'!D49)+('داده ها'!D55*'داده ها'!B49)</f>
        <v>360</v>
      </c>
      <c r="H5" s="31">
        <f>('داده ها'!E53*'داده ها'!F49)+('داده ها'!E54*'داده ها'!D49)+('داده ها'!E55*'داده ها'!B49)</f>
        <v>360</v>
      </c>
      <c r="I5" s="31">
        <f>('داده ها'!F53*'داده ها'!F49)+'داده ها'!F54*'داده ها'!D49</f>
        <v>220</v>
      </c>
      <c r="J5" s="58" t="s">
        <v>109</v>
      </c>
    </row>
    <row r="6" spans="3:10" ht="21" thickBot="1">
      <c r="C6" s="20"/>
      <c r="G6" s="31">
        <f>'داده ها'!D56*'داده ها'!D57</f>
        <v>280</v>
      </c>
      <c r="H6" s="31">
        <f>('داده ها'!E56*'داده ها'!E57)</f>
        <v>90</v>
      </c>
      <c r="I6" s="31">
        <f>'داده ها'!F56*'داده ها'!F57</f>
        <v>80</v>
      </c>
      <c r="J6" s="58" t="s">
        <v>110</v>
      </c>
    </row>
    <row r="7" spans="3:10" ht="21" thickBot="1">
      <c r="C7" s="20"/>
      <c r="G7" s="31">
        <f>'داده ها'!D64*'داده ها'!D56</f>
        <v>540</v>
      </c>
      <c r="H7" s="31">
        <f>'داده ها'!D64*'داده ها'!E56</f>
        <v>405</v>
      </c>
      <c r="I7" s="31">
        <f>'داده ها'!F56*'داده ها'!D64</f>
        <v>270</v>
      </c>
      <c r="J7" s="58" t="s">
        <v>111</v>
      </c>
    </row>
    <row r="8" spans="3:10" ht="21" thickBot="1">
      <c r="C8" s="20"/>
      <c r="G8" s="31">
        <f>'داده ها'!D73/('بودجه دستمزد مستقيم '!D11+'بودجه دستمزد مستقيم '!C11+'بودجه دستمزد مستقيم '!B11)</f>
        <v>75.97374179431073</v>
      </c>
      <c r="H8" s="31">
        <f>'داده ها'!D73/('بودجه دستمزد مستقيم '!D11+'بودجه دستمزد مستقيم '!C11+'بودجه دستمزد مستقيم '!B11)</f>
        <v>75.97374179431073</v>
      </c>
      <c r="I8" s="31">
        <f>'داده ها'!D73/('بودجه دستمزد مستقيم '!D11+'بودجه دستمزد مستقيم '!C11+'بودجه دستمزد مستقيم '!B11)</f>
        <v>75.97374179431073</v>
      </c>
      <c r="J8" s="58" t="s">
        <v>112</v>
      </c>
    </row>
    <row r="9" spans="3:10" ht="21" thickBot="1">
      <c r="C9" s="20"/>
      <c r="G9" s="31">
        <f>G5+G6+G7+G8</f>
        <v>1255.9737417943106</v>
      </c>
      <c r="H9" s="31">
        <f>H5+H6+H7+H8</f>
        <v>930.9737417943107</v>
      </c>
      <c r="I9" s="31">
        <f>I5+I6+I7+I8</f>
        <v>645.9737417943107</v>
      </c>
      <c r="J9" s="58" t="s">
        <v>79</v>
      </c>
    </row>
    <row r="10" ht="21" thickBot="1"/>
    <row r="11" spans="2:10" ht="23.25">
      <c r="B11" s="23"/>
      <c r="C11" s="213" t="s">
        <v>286</v>
      </c>
      <c r="D11" s="214"/>
      <c r="E11" s="214"/>
      <c r="F11" s="214"/>
      <c r="G11" s="214"/>
      <c r="H11" s="214"/>
      <c r="I11" s="214"/>
      <c r="J11" s="215"/>
    </row>
    <row r="12" spans="2:10" ht="23.25">
      <c r="B12" s="23"/>
      <c r="C12" s="210" t="s">
        <v>93</v>
      </c>
      <c r="D12" s="211"/>
      <c r="E12" s="211"/>
      <c r="F12" s="211"/>
      <c r="G12" s="211"/>
      <c r="H12" s="211"/>
      <c r="I12" s="211"/>
      <c r="J12" s="212"/>
    </row>
    <row r="13" spans="2:10" ht="24" thickBot="1">
      <c r="B13" s="23"/>
      <c r="C13" s="220" t="s">
        <v>132</v>
      </c>
      <c r="D13" s="221"/>
      <c r="E13" s="221"/>
      <c r="F13" s="221"/>
      <c r="G13" s="221"/>
      <c r="H13" s="221"/>
      <c r="I13" s="221"/>
      <c r="J13" s="222"/>
    </row>
    <row r="14" spans="2:10" ht="21" thickBot="1">
      <c r="B14" s="23"/>
      <c r="C14" s="53" t="s">
        <v>79</v>
      </c>
      <c r="D14" s="240" t="s">
        <v>104</v>
      </c>
      <c r="E14" s="241"/>
      <c r="F14" s="238" t="s">
        <v>103</v>
      </c>
      <c r="G14" s="239"/>
      <c r="H14" s="236" t="s">
        <v>102</v>
      </c>
      <c r="I14" s="237"/>
      <c r="J14" s="58"/>
    </row>
    <row r="15" spans="3:10" ht="21" thickBot="1">
      <c r="C15" s="29"/>
      <c r="D15" s="43"/>
      <c r="E15" s="30">
        <f>'داده ها'!C46</f>
        <v>1150</v>
      </c>
      <c r="F15" s="43"/>
      <c r="G15" s="30">
        <f>'داده ها'!E46</f>
        <v>1250</v>
      </c>
      <c r="H15" s="43"/>
      <c r="I15" s="30">
        <f>'داده ها'!G46</f>
        <v>1700</v>
      </c>
      <c r="J15" s="58" t="s">
        <v>94</v>
      </c>
    </row>
    <row r="16" spans="3:10" ht="21" thickBot="1">
      <c r="C16" s="34"/>
      <c r="D16" s="62"/>
      <c r="E16" s="32">
        <f>'داده ها'!B46</f>
        <v>19000</v>
      </c>
      <c r="F16" s="62"/>
      <c r="G16" s="32">
        <f>'داده ها'!D46</f>
        <v>20000</v>
      </c>
      <c r="H16" s="62"/>
      <c r="I16" s="32">
        <f>'داده ها'!F46</f>
        <v>18500</v>
      </c>
      <c r="J16" s="58" t="s">
        <v>95</v>
      </c>
    </row>
    <row r="17" spans="3:10" ht="21" thickBot="1">
      <c r="C17" s="34">
        <f>H17+F17+D17</f>
        <v>78300000</v>
      </c>
      <c r="D17" s="62">
        <f>E15*E16</f>
        <v>21850000</v>
      </c>
      <c r="E17" s="35"/>
      <c r="F17" s="62">
        <f>G15*G16</f>
        <v>25000000</v>
      </c>
      <c r="G17" s="35"/>
      <c r="H17" s="62">
        <f>I15*I16</f>
        <v>31450000</v>
      </c>
      <c r="I17" s="35"/>
      <c r="J17" s="58" t="s">
        <v>96</v>
      </c>
    </row>
    <row r="18" spans="3:10" ht="21" thickBot="1">
      <c r="C18" s="34"/>
      <c r="D18" s="62"/>
      <c r="E18" s="35">
        <f>'بودجه توليد'!B13</f>
        <v>12850</v>
      </c>
      <c r="F18" s="62"/>
      <c r="G18" s="35">
        <f>'بودجه توليد'!C13</f>
        <v>8750</v>
      </c>
      <c r="H18" s="62"/>
      <c r="I18" s="35">
        <f>'بودجه توليد'!D13</f>
        <v>18300</v>
      </c>
      <c r="J18" s="58" t="s">
        <v>97</v>
      </c>
    </row>
    <row r="19" spans="3:10" ht="21" thickBot="1">
      <c r="C19" s="34"/>
      <c r="D19" s="62"/>
      <c r="E19" s="32">
        <f>G9</f>
        <v>1255.9737417943106</v>
      </c>
      <c r="F19" s="62"/>
      <c r="G19" s="32">
        <f>H9</f>
        <v>930.9737417943107</v>
      </c>
      <c r="H19" s="62"/>
      <c r="I19" s="32">
        <f>I9</f>
        <v>645.9737417943107</v>
      </c>
      <c r="J19" s="58" t="s">
        <v>95</v>
      </c>
    </row>
    <row r="20" spans="3:10" ht="21" thickBot="1">
      <c r="C20" s="31">
        <f>H20+F20+D20</f>
        <v>36106602.297593</v>
      </c>
      <c r="D20" s="44">
        <f>E18*E19</f>
        <v>16139262.582056891</v>
      </c>
      <c r="E20" s="35"/>
      <c r="F20" s="44">
        <f>G18*G19</f>
        <v>8146020.240700219</v>
      </c>
      <c r="G20" s="35"/>
      <c r="H20" s="44">
        <f>I18*I19</f>
        <v>11821319.474835886</v>
      </c>
      <c r="I20" s="35"/>
      <c r="J20" s="58" t="s">
        <v>98</v>
      </c>
    </row>
    <row r="21" spans="3:10" ht="21" thickBot="1">
      <c r="C21" s="34">
        <f aca="true" t="shared" si="0" ref="C21:H21">C17+C20</f>
        <v>114406602.297593</v>
      </c>
      <c r="D21" s="62">
        <f t="shared" si="0"/>
        <v>37989262.582056895</v>
      </c>
      <c r="E21" s="35">
        <f t="shared" si="0"/>
        <v>0</v>
      </c>
      <c r="F21" s="62">
        <f t="shared" si="0"/>
        <v>33146020.24070022</v>
      </c>
      <c r="G21" s="35">
        <f t="shared" si="0"/>
        <v>0</v>
      </c>
      <c r="H21" s="62">
        <f t="shared" si="0"/>
        <v>43271319.47483589</v>
      </c>
      <c r="I21" s="35"/>
      <c r="J21" s="58" t="s">
        <v>99</v>
      </c>
    </row>
    <row r="22" spans="3:10" ht="21" thickBot="1">
      <c r="C22" s="34"/>
      <c r="D22" s="62"/>
      <c r="E22" s="35">
        <f>'بودجه فروش'!B21</f>
        <v>1400</v>
      </c>
      <c r="F22" s="62"/>
      <c r="G22" s="35">
        <f>'بودجه فروش'!C21</f>
        <v>1000</v>
      </c>
      <c r="H22" s="62"/>
      <c r="I22" s="35">
        <f>'بودجه فروش'!D21</f>
        <v>2000</v>
      </c>
      <c r="J22" s="99" t="s">
        <v>276</v>
      </c>
    </row>
    <row r="23" spans="3:10" ht="21" thickBot="1">
      <c r="C23" s="34"/>
      <c r="D23" s="62"/>
      <c r="E23" s="32">
        <f>G9</f>
        <v>1255.9737417943106</v>
      </c>
      <c r="F23" s="62"/>
      <c r="G23" s="32">
        <f>H9</f>
        <v>930.9737417943107</v>
      </c>
      <c r="H23" s="62"/>
      <c r="I23" s="32">
        <f>I9</f>
        <v>645.9737417943107</v>
      </c>
      <c r="J23" s="58" t="s">
        <v>95</v>
      </c>
    </row>
    <row r="24" spans="3:10" ht="21" thickBot="1">
      <c r="C24" s="131">
        <f>H24+F24+D24</f>
        <v>3981284.4638949675</v>
      </c>
      <c r="D24" s="133">
        <f>E22*E23</f>
        <v>1758363.238512035</v>
      </c>
      <c r="E24" s="130"/>
      <c r="F24" s="133">
        <f>G22*G23</f>
        <v>930973.7417943107</v>
      </c>
      <c r="G24" s="130"/>
      <c r="H24" s="133">
        <f>I22*I23</f>
        <v>1291947.4835886215</v>
      </c>
      <c r="I24" s="130"/>
      <c r="J24" s="99" t="s">
        <v>100</v>
      </c>
    </row>
    <row r="25" spans="3:10" ht="21" thickBot="1">
      <c r="C25" s="64">
        <f aca="true" t="shared" si="1" ref="C25:H25">C21-C24</f>
        <v>110425317.83369803</v>
      </c>
      <c r="D25" s="63">
        <f t="shared" si="1"/>
        <v>36230899.34354486</v>
      </c>
      <c r="E25" s="32">
        <f t="shared" si="1"/>
        <v>0</v>
      </c>
      <c r="F25" s="63">
        <f t="shared" si="1"/>
        <v>32215046.49890591</v>
      </c>
      <c r="G25" s="32">
        <f t="shared" si="1"/>
        <v>0</v>
      </c>
      <c r="H25" s="63">
        <f t="shared" si="1"/>
        <v>41979371.99124727</v>
      </c>
      <c r="I25" s="32"/>
      <c r="J25" s="58" t="s">
        <v>101</v>
      </c>
    </row>
    <row r="26" spans="10:11" ht="21" thickTop="1">
      <c r="J26" s="24"/>
      <c r="K26" s="20"/>
    </row>
    <row r="27" spans="10:11" ht="20.25">
      <c r="J27" s="20"/>
      <c r="K27" s="20"/>
    </row>
  </sheetData>
  <sheetProtection/>
  <mergeCells count="8">
    <mergeCell ref="H14:I14"/>
    <mergeCell ref="F14:G14"/>
    <mergeCell ref="D14:E14"/>
    <mergeCell ref="G2:J2"/>
    <mergeCell ref="G3:J3"/>
    <mergeCell ref="C11:J11"/>
    <mergeCell ref="C12:J12"/>
    <mergeCell ref="C13:J1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K15"/>
  <sheetViews>
    <sheetView zoomScalePageLayoutView="0" workbookViewId="0" topLeftCell="A1">
      <selection activeCell="A1" sqref="A1"/>
    </sheetView>
  </sheetViews>
  <sheetFormatPr defaultColWidth="10.421875" defaultRowHeight="22.5" customHeight="1"/>
  <cols>
    <col min="1" max="1" width="9.140625" style="1" customWidth="1"/>
    <col min="2" max="2" width="18.7109375" style="1" customWidth="1"/>
    <col min="3" max="7" width="10.421875" style="1" customWidth="1"/>
    <col min="8" max="8" width="15.8515625" style="1" customWidth="1"/>
    <col min="9" max="16384" width="10.421875" style="1" customWidth="1"/>
  </cols>
  <sheetData>
    <row r="4" ht="22.5" customHeight="1" thickBot="1"/>
    <row r="5" spans="2:11" ht="22.5" customHeight="1" thickBot="1">
      <c r="B5" s="245" t="s">
        <v>287</v>
      </c>
      <c r="C5" s="246"/>
      <c r="D5" s="247"/>
      <c r="H5" s="245" t="s">
        <v>287</v>
      </c>
      <c r="I5" s="246"/>
      <c r="J5" s="247"/>
      <c r="K5" s="25"/>
    </row>
    <row r="6" spans="2:11" ht="22.5" customHeight="1" thickBot="1">
      <c r="B6" s="248" t="s">
        <v>153</v>
      </c>
      <c r="C6" s="249"/>
      <c r="D6" s="250"/>
      <c r="H6" s="245" t="s">
        <v>131</v>
      </c>
      <c r="I6" s="246"/>
      <c r="J6" s="247"/>
      <c r="K6" s="25"/>
    </row>
    <row r="7" spans="2:11" ht="22.5" customHeight="1" thickBot="1">
      <c r="B7" s="245" t="s">
        <v>132</v>
      </c>
      <c r="C7" s="246"/>
      <c r="D7" s="247"/>
      <c r="H7" s="245" t="s">
        <v>132</v>
      </c>
      <c r="I7" s="246"/>
      <c r="J7" s="247"/>
      <c r="K7" s="25"/>
    </row>
    <row r="8" spans="1:10" ht="22.5" customHeight="1">
      <c r="A8" s="27"/>
      <c r="B8" s="26">
        <f>'داده ها'!C79</f>
        <v>300000</v>
      </c>
      <c r="C8" s="244" t="s">
        <v>120</v>
      </c>
      <c r="D8" s="146"/>
      <c r="H8" s="66">
        <f>'داده ها'!B87*('بودجه فروش'!B11+'بودجه فروش'!B12)</f>
        <v>42300000</v>
      </c>
      <c r="I8" s="244" t="s">
        <v>122</v>
      </c>
      <c r="J8" s="146"/>
    </row>
    <row r="9" spans="1:10" ht="22.5" customHeight="1">
      <c r="A9" s="27"/>
      <c r="B9" s="26">
        <f>'داده ها'!C80</f>
        <v>125000</v>
      </c>
      <c r="C9" s="244" t="s">
        <v>116</v>
      </c>
      <c r="D9" s="146"/>
      <c r="H9" s="67">
        <f>'داده ها'!B88</f>
        <v>125000</v>
      </c>
      <c r="I9" s="244" t="s">
        <v>123</v>
      </c>
      <c r="J9" s="146"/>
    </row>
    <row r="10" spans="1:10" ht="22.5" customHeight="1">
      <c r="A10" s="27"/>
      <c r="B10" s="26">
        <f>'داده ها'!C81</f>
        <v>7000000</v>
      </c>
      <c r="C10" s="244" t="s">
        <v>117</v>
      </c>
      <c r="D10" s="146"/>
      <c r="H10" s="67">
        <f>'داده ها'!B89</f>
        <v>1250000</v>
      </c>
      <c r="I10" s="244" t="s">
        <v>124</v>
      </c>
      <c r="J10" s="146"/>
    </row>
    <row r="11" spans="1:10" ht="22.5" customHeight="1">
      <c r="A11" s="27"/>
      <c r="B11" s="26">
        <f>((('بودجه فروش'!B11*'داده ها'!C101)+('بودجه فروش'!B12*30%))*'داده ها'!C82)-'داده ها'!H11</f>
        <v>4594000</v>
      </c>
      <c r="C11" s="244" t="s">
        <v>241</v>
      </c>
      <c r="D11" s="146"/>
      <c r="H11" s="67">
        <f>'داده ها'!B90</f>
        <v>3000000</v>
      </c>
      <c r="I11" s="244" t="s">
        <v>203</v>
      </c>
      <c r="J11" s="146"/>
    </row>
    <row r="12" spans="1:10" ht="22.5" customHeight="1">
      <c r="A12" s="27"/>
      <c r="B12" s="26">
        <f>'داده ها'!C83</f>
        <v>800000</v>
      </c>
      <c r="C12" s="244" t="s">
        <v>118</v>
      </c>
      <c r="D12" s="146"/>
      <c r="H12" s="67">
        <f>'داده ها'!B91</f>
        <v>400000</v>
      </c>
      <c r="I12" s="244" t="s">
        <v>128</v>
      </c>
      <c r="J12" s="146"/>
    </row>
    <row r="13" spans="1:10" ht="22.5" customHeight="1">
      <c r="A13" s="27"/>
      <c r="B13" s="26">
        <f>'داده ها'!C84</f>
        <v>1250000</v>
      </c>
      <c r="C13" s="244" t="s">
        <v>119</v>
      </c>
      <c r="D13" s="146"/>
      <c r="H13" s="67">
        <f>(('بودجه فروش'!D21*'بودجه بهاي تمام شده كالاي فروش '!I9)+('بودجه فروش'!C21*'بودجه بهاي تمام شده كالاي فروش '!H9)+('بودجه فروش'!B21*'بودجه بهاي تمام شده كالاي فروش '!G9))*'داده ها'!B92</f>
        <v>796256.8927789936</v>
      </c>
      <c r="I13" s="244" t="s">
        <v>129</v>
      </c>
      <c r="J13" s="146"/>
    </row>
    <row r="14" spans="1:10" ht="22.5" customHeight="1" thickBot="1">
      <c r="A14" s="27"/>
      <c r="B14" s="26">
        <f>'داده ها'!C85</f>
        <v>900000</v>
      </c>
      <c r="C14" s="244" t="s">
        <v>121</v>
      </c>
      <c r="D14" s="146"/>
      <c r="H14" s="68">
        <f>('بودجه توليد'!D13+'بودجه توليد'!C13+'بودجه توليد'!B13)*'داده ها'!B93</f>
        <v>997500</v>
      </c>
      <c r="I14" s="150" t="s">
        <v>130</v>
      </c>
      <c r="J14" s="151"/>
    </row>
    <row r="15" spans="2:10" ht="22.5" customHeight="1" thickBot="1">
      <c r="B15" s="132">
        <f>SUM(B8:B14)</f>
        <v>14969000</v>
      </c>
      <c r="C15" s="242" t="s">
        <v>144</v>
      </c>
      <c r="D15" s="243"/>
      <c r="H15" s="132">
        <f>SUM(H8:H14)</f>
        <v>48868756.89277899</v>
      </c>
      <c r="I15" s="150" t="s">
        <v>79</v>
      </c>
      <c r="J15" s="151"/>
    </row>
    <row r="16" ht="22.5" customHeight="1" thickTop="1"/>
  </sheetData>
  <sheetProtection/>
  <mergeCells count="22">
    <mergeCell ref="H5:J5"/>
    <mergeCell ref="H6:J6"/>
    <mergeCell ref="H7:J7"/>
    <mergeCell ref="B5:D5"/>
    <mergeCell ref="B6:D6"/>
    <mergeCell ref="B7:D7"/>
    <mergeCell ref="I8:J8"/>
    <mergeCell ref="I9:J9"/>
    <mergeCell ref="I10:J10"/>
    <mergeCell ref="I11:J11"/>
    <mergeCell ref="C10:D10"/>
    <mergeCell ref="C11:D11"/>
    <mergeCell ref="C8:D8"/>
    <mergeCell ref="C9:D9"/>
    <mergeCell ref="I15:J15"/>
    <mergeCell ref="C15:D15"/>
    <mergeCell ref="C12:D12"/>
    <mergeCell ref="I14:J14"/>
    <mergeCell ref="C13:D13"/>
    <mergeCell ref="C14:D14"/>
    <mergeCell ref="I12:J12"/>
    <mergeCell ref="I13:J13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acc</cp:lastModifiedBy>
  <cp:lastPrinted>2003-06-14T01:16:39Z</cp:lastPrinted>
  <dcterms:created xsi:type="dcterms:W3CDTF">2001-05-30T09:02:48Z</dcterms:created>
  <dcterms:modified xsi:type="dcterms:W3CDTF">2015-03-01T07:27:57Z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